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135" windowWidth="17280" windowHeight="5925"/>
  </bookViews>
  <sheets>
    <sheet name="Shared loop GSHP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3" i="4"/>
  <c r="C26"/>
  <c r="C19"/>
  <c r="K36"/>
  <c r="K46" l="1"/>
  <c r="K47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L39"/>
  <c r="L40"/>
  <c r="M39"/>
  <c r="L4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L55" l="1"/>
  <c r="M55" s="1"/>
  <c r="N55" s="1"/>
  <c r="O55" s="1"/>
  <c r="P55" s="1"/>
  <c r="Q55" s="1"/>
  <c r="R55" s="1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L56"/>
  <c r="O40"/>
  <c r="O43" s="1"/>
  <c r="N40"/>
  <c r="N43" s="1"/>
  <c r="X40"/>
  <c r="X43" s="1"/>
  <c r="Q40"/>
  <c r="Q43" s="1"/>
  <c r="AD40"/>
  <c r="Z40"/>
  <c r="Z43" s="1"/>
  <c r="V40"/>
  <c r="V43" s="1"/>
  <c r="R40"/>
  <c r="R43" s="1"/>
  <c r="AB40"/>
  <c r="AB43" s="1"/>
  <c r="T40"/>
  <c r="T43" s="1"/>
  <c r="P40"/>
  <c r="P43" s="1"/>
  <c r="M40"/>
  <c r="M43" s="1"/>
  <c r="AC40"/>
  <c r="Y40"/>
  <c r="Y43" s="1"/>
  <c r="U40"/>
  <c r="U43" s="1"/>
  <c r="L43"/>
  <c r="AE40"/>
  <c r="AA40"/>
  <c r="AA43" s="1"/>
  <c r="W40"/>
  <c r="W43" s="1"/>
  <c r="S40"/>
  <c r="S43" s="1"/>
  <c r="AC41"/>
  <c r="AD41" s="1"/>
  <c r="AE41" s="1"/>
  <c r="AF39"/>
  <c r="L58" l="1"/>
  <c r="M56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C43"/>
  <c r="AE43"/>
  <c r="AD43"/>
  <c r="AF41"/>
  <c r="AF40"/>
  <c r="AF43" l="1"/>
  <c r="M58"/>
  <c r="N58"/>
  <c r="AF56"/>
  <c r="O58"/>
  <c r="P58" l="1"/>
  <c r="Q58" l="1"/>
  <c r="R58" l="1"/>
  <c r="S58" l="1"/>
  <c r="T58" l="1"/>
  <c r="U58" l="1"/>
  <c r="V58" l="1"/>
  <c r="W58" l="1"/>
  <c r="X58" l="1"/>
  <c r="Y58" l="1"/>
  <c r="Z58" l="1"/>
  <c r="AA58" l="1"/>
  <c r="AB58" l="1"/>
  <c r="AC58" l="1"/>
  <c r="G41"/>
  <c r="G43" s="1"/>
  <c r="G39"/>
  <c r="G40" s="1"/>
  <c r="G33" s="1"/>
  <c r="G34"/>
  <c r="G23"/>
  <c r="C25"/>
  <c r="G17" s="1"/>
  <c r="G21"/>
  <c r="G22" s="1"/>
  <c r="K16"/>
  <c r="Z17" s="1"/>
  <c r="V9"/>
  <c r="C10"/>
  <c r="G7"/>
  <c r="G9" s="1"/>
  <c r="K6"/>
  <c r="C8"/>
  <c r="K5"/>
  <c r="AD8" s="1"/>
  <c r="K62" l="1"/>
  <c r="G4"/>
  <c r="G12" s="1"/>
  <c r="G24"/>
  <c r="G26" s="1"/>
  <c r="G15"/>
  <c r="AD58"/>
  <c r="V17"/>
  <c r="R17"/>
  <c r="N17"/>
  <c r="AD17"/>
  <c r="C11"/>
  <c r="G19"/>
  <c r="G20" s="1"/>
  <c r="G29" s="1"/>
  <c r="G35"/>
  <c r="P8"/>
  <c r="X8"/>
  <c r="Q17"/>
  <c r="Y17"/>
  <c r="L18"/>
  <c r="O8"/>
  <c r="S8"/>
  <c r="W8"/>
  <c r="AA8"/>
  <c r="AE8"/>
  <c r="L9"/>
  <c r="L17"/>
  <c r="P17"/>
  <c r="T17"/>
  <c r="X17"/>
  <c r="AB17"/>
  <c r="L25"/>
  <c r="M8"/>
  <c r="Q8"/>
  <c r="U8"/>
  <c r="Y8"/>
  <c r="AC8"/>
  <c r="L8"/>
  <c r="M9" s="1"/>
  <c r="T8"/>
  <c r="AB8"/>
  <c r="M17"/>
  <c r="U17"/>
  <c r="AC17"/>
  <c r="N8"/>
  <c r="R8"/>
  <c r="V8"/>
  <c r="Z8"/>
  <c r="O17"/>
  <c r="S17"/>
  <c r="W17"/>
  <c r="AA17"/>
  <c r="AE17"/>
  <c r="R18" l="1"/>
  <c r="R20" s="1"/>
  <c r="G25"/>
  <c r="G27" s="1"/>
  <c r="G28" s="1"/>
  <c r="G30" s="1"/>
  <c r="N18"/>
  <c r="N20" s="1"/>
  <c r="AE58"/>
  <c r="AF55"/>
  <c r="AB18"/>
  <c r="AB20" s="1"/>
  <c r="G37"/>
  <c r="M11"/>
  <c r="N9"/>
  <c r="R9"/>
  <c r="R11" s="1"/>
  <c r="AF8"/>
  <c r="L11"/>
  <c r="M25"/>
  <c r="X9"/>
  <c r="X11" s="1"/>
  <c r="W18"/>
  <c r="W20" s="1"/>
  <c r="T18"/>
  <c r="T20" s="1"/>
  <c r="Z18"/>
  <c r="Z20" s="1"/>
  <c r="S18"/>
  <c r="S20" s="1"/>
  <c r="P9"/>
  <c r="P11" s="1"/>
  <c r="S9"/>
  <c r="S11" s="1"/>
  <c r="AE9"/>
  <c r="AE11" s="1"/>
  <c r="AA9"/>
  <c r="AA11" s="1"/>
  <c r="W9"/>
  <c r="W11" s="1"/>
  <c r="AC9"/>
  <c r="AC11" s="1"/>
  <c r="AD9"/>
  <c r="AD11" s="1"/>
  <c r="Z9"/>
  <c r="Z11" s="1"/>
  <c r="V11"/>
  <c r="AB9"/>
  <c r="AB11" s="1"/>
  <c r="Y9"/>
  <c r="Y11" s="1"/>
  <c r="Y18"/>
  <c r="Y20" s="1"/>
  <c r="M18"/>
  <c r="M20" s="1"/>
  <c r="L20"/>
  <c r="AF17"/>
  <c r="AC18"/>
  <c r="AC20" s="1"/>
  <c r="U18"/>
  <c r="U20" s="1"/>
  <c r="Q18"/>
  <c r="Q20" s="1"/>
  <c r="T9"/>
  <c r="T11" s="1"/>
  <c r="U9"/>
  <c r="U11" s="1"/>
  <c r="AA18"/>
  <c r="AA20" s="1"/>
  <c r="P18"/>
  <c r="P20" s="1"/>
  <c r="Q9"/>
  <c r="Q11" s="1"/>
  <c r="V18"/>
  <c r="V20" s="1"/>
  <c r="O9"/>
  <c r="O11" s="1"/>
  <c r="AE18"/>
  <c r="AE20" s="1"/>
  <c r="O18"/>
  <c r="X18"/>
  <c r="X20" s="1"/>
  <c r="AD18"/>
  <c r="AD20" s="1"/>
  <c r="L24" l="1"/>
  <c r="L63" s="1"/>
  <c r="AF58"/>
  <c r="R24"/>
  <c r="R63" s="1"/>
  <c r="G42"/>
  <c r="G44" s="1"/>
  <c r="G45" s="1"/>
  <c r="AF9"/>
  <c r="Z24"/>
  <c r="Z63" s="1"/>
  <c r="Y24"/>
  <c r="Y63" s="1"/>
  <c r="T24"/>
  <c r="T63" s="1"/>
  <c r="Q24"/>
  <c r="Q63" s="1"/>
  <c r="W24"/>
  <c r="W63" s="1"/>
  <c r="AF18"/>
  <c r="AB24"/>
  <c r="AB63" s="1"/>
  <c r="G38"/>
  <c r="G4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G49"/>
  <c r="G50" s="1"/>
  <c r="AA24"/>
  <c r="AA63" s="1"/>
  <c r="X24"/>
  <c r="X63" s="1"/>
  <c r="N25"/>
  <c r="O20"/>
  <c r="O24" s="1"/>
  <c r="O63" s="1"/>
  <c r="V24"/>
  <c r="V63" s="1"/>
  <c r="P24"/>
  <c r="P63" s="1"/>
  <c r="S24"/>
  <c r="S63" s="1"/>
  <c r="N11"/>
  <c r="N24" s="1"/>
  <c r="N63" s="1"/>
  <c r="AD24"/>
  <c r="AD63" s="1"/>
  <c r="M24"/>
  <c r="M63" s="1"/>
  <c r="AC24"/>
  <c r="AC63" s="1"/>
  <c r="AE24"/>
  <c r="AE63" s="1"/>
  <c r="U24"/>
  <c r="U63" s="1"/>
  <c r="AF63" l="1"/>
  <c r="AF11"/>
  <c r="AF20"/>
  <c r="L27"/>
  <c r="L64" s="1"/>
  <c r="L65" s="1"/>
  <c r="G47"/>
  <c r="AF24"/>
  <c r="O25"/>
  <c r="G5" l="1"/>
  <c r="G6" s="1"/>
  <c r="M27"/>
  <c r="M64" s="1"/>
  <c r="P25"/>
  <c r="L29" l="1"/>
  <c r="M29" s="1"/>
  <c r="G8"/>
  <c r="G10" s="1"/>
  <c r="M65"/>
  <c r="N27"/>
  <c r="N64" s="1"/>
  <c r="N65" s="1"/>
  <c r="N29"/>
  <c r="Q25"/>
  <c r="O27" l="1"/>
  <c r="O64" s="1"/>
  <c r="O65" s="1"/>
  <c r="O29"/>
  <c r="P29" s="1"/>
  <c r="Q29" s="1"/>
  <c r="R25"/>
  <c r="P27" l="1"/>
  <c r="P64" s="1"/>
  <c r="R29"/>
  <c r="S25"/>
  <c r="P65" l="1"/>
  <c r="Q27"/>
  <c r="Q64" s="1"/>
  <c r="Q65" s="1"/>
  <c r="S29"/>
  <c r="T25"/>
  <c r="R27" l="1"/>
  <c r="R64" s="1"/>
  <c r="R65" s="1"/>
  <c r="U25"/>
  <c r="T29"/>
  <c r="S27" l="1"/>
  <c r="S64" s="1"/>
  <c r="V25"/>
  <c r="U29"/>
  <c r="S65" l="1"/>
  <c r="T27"/>
  <c r="T64" s="1"/>
  <c r="T65" s="1"/>
  <c r="W25"/>
  <c r="V29"/>
  <c r="U27" l="1"/>
  <c r="U64" s="1"/>
  <c r="U65" s="1"/>
  <c r="X25"/>
  <c r="W29"/>
  <c r="V27" l="1"/>
  <c r="V64" s="1"/>
  <c r="V65" s="1"/>
  <c r="Y25"/>
  <c r="X29"/>
  <c r="W27" l="1"/>
  <c r="W64" s="1"/>
  <c r="W65" s="1"/>
  <c r="Z25"/>
  <c r="Y29"/>
  <c r="X27" l="1"/>
  <c r="X64" s="1"/>
  <c r="X65" s="1"/>
  <c r="Z29"/>
  <c r="AA25"/>
  <c r="Y27" l="1"/>
  <c r="Y64" s="1"/>
  <c r="Y65" s="1"/>
  <c r="AA29"/>
  <c r="AB25"/>
  <c r="Z27" l="1"/>
  <c r="Z64" s="1"/>
  <c r="Z65" s="1"/>
  <c r="AB29"/>
  <c r="AC25"/>
  <c r="AA27" l="1"/>
  <c r="AA64" s="1"/>
  <c r="AA65" s="1"/>
  <c r="AC29"/>
  <c r="AD25"/>
  <c r="AB27" l="1"/>
  <c r="AB64" s="1"/>
  <c r="AB65" s="1"/>
  <c r="AD29"/>
  <c r="AE25"/>
  <c r="AC27" l="1"/>
  <c r="AC64" s="1"/>
  <c r="AC65" s="1"/>
  <c r="AE29"/>
  <c r="AF25"/>
  <c r="AD27" l="1"/>
  <c r="AD64" s="1"/>
  <c r="AD65" s="1"/>
  <c r="AF29"/>
  <c r="AF26" l="1"/>
  <c r="AE27"/>
  <c r="AF28" l="1"/>
  <c r="AE64"/>
  <c r="AF27"/>
  <c r="AF30"/>
  <c r="AE65" l="1"/>
  <c r="AF65" s="1"/>
  <c r="AF64"/>
</calcChain>
</file>

<file path=xl/comments1.xml><?xml version="1.0" encoding="utf-8"?>
<comments xmlns="http://schemas.openxmlformats.org/spreadsheetml/2006/main">
  <authors>
    <author>User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Installed with PV - Moixa list price with £2.4K subsidy from NG grant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Moixa baseline offer of £50 per annum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With £500 subsidy from NG grant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Assuming consumer pays heat pump service charge</t>
        </r>
      </text>
    </comment>
    <comment ref="J3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With £1K subsidy from NG grant</t>
        </r>
      </text>
    </comment>
    <comment ref="J6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Augmented by £26.3K from NG grant</t>
        </r>
      </text>
    </comment>
  </commentList>
</comments>
</file>

<file path=xl/sharedStrings.xml><?xml version="1.0" encoding="utf-8"?>
<sst xmlns="http://schemas.openxmlformats.org/spreadsheetml/2006/main" count="173" uniqueCount="121">
  <si>
    <t>Dwelling heat demand</t>
  </si>
  <si>
    <t>kWh/year</t>
  </si>
  <si>
    <t>Heat pump CoP</t>
  </si>
  <si>
    <t>Heat pump electricity use</t>
  </si>
  <si>
    <t>kWh/day</t>
  </si>
  <si>
    <t>Other electricity daily use</t>
  </si>
  <si>
    <t>Other electricity annual use</t>
  </si>
  <si>
    <t>Total annual electricity use</t>
  </si>
  <si>
    <t>Battery size</t>
  </si>
  <si>
    <t>kWh</t>
  </si>
  <si>
    <t>Cycle depth allowed</t>
  </si>
  <si>
    <t>Battery lifetime</t>
  </si>
  <si>
    <t>Battery cost</t>
  </si>
  <si>
    <t>years</t>
  </si>
  <si>
    <t>Battery flex payments per day</t>
  </si>
  <si>
    <t>PV panel size</t>
  </si>
  <si>
    <t>kWp</t>
  </si>
  <si>
    <t>Annual production per kWp</t>
  </si>
  <si>
    <t xml:space="preserve">Annual production </t>
  </si>
  <si>
    <t>PV panel cost</t>
  </si>
  <si>
    <t>Heating days per year</t>
  </si>
  <si>
    <t>days</t>
  </si>
  <si>
    <t>PV export tariff</t>
  </si>
  <si>
    <t>Daytime electricity tariff</t>
  </si>
  <si>
    <t>Night tariff</t>
  </si>
  <si>
    <t>per day</t>
  </si>
  <si>
    <t>per kWh</t>
  </si>
  <si>
    <t>Standing charge - TOD</t>
  </si>
  <si>
    <t>Baseline annual cost</t>
  </si>
  <si>
    <t>PV gen in heating season</t>
  </si>
  <si>
    <t>Avge PV gen per day</t>
  </si>
  <si>
    <t>Self consumption avge.</t>
  </si>
  <si>
    <t>PV consumed</t>
  </si>
  <si>
    <t>PV exported</t>
  </si>
  <si>
    <t>Electricity demand</t>
  </si>
  <si>
    <t>Battery cycle efficiency</t>
  </si>
  <si>
    <t>Battery kWh shifted</t>
  </si>
  <si>
    <t>Battery losses</t>
  </si>
  <si>
    <t>Non-shifted overnight use</t>
  </si>
  <si>
    <t>Total night consumption</t>
  </si>
  <si>
    <t>Daytime grid consumption</t>
  </si>
  <si>
    <t>Night tariff cost</t>
  </si>
  <si>
    <t>Day tariff cost</t>
  </si>
  <si>
    <t>Total import cost per day</t>
  </si>
  <si>
    <t>PV gen in summer</t>
  </si>
  <si>
    <t>Self-consumption unshifted</t>
  </si>
  <si>
    <t>Export income per day</t>
  </si>
  <si>
    <t>Annual cost with system</t>
  </si>
  <si>
    <t>Net cost per day</t>
  </si>
  <si>
    <t>Battery assumptions</t>
  </si>
  <si>
    <t>PV assumptions</t>
  </si>
  <si>
    <t>Electricity savings</t>
  </si>
  <si>
    <t>Demand response income</t>
  </si>
  <si>
    <t>Total annual benefit</t>
  </si>
  <si>
    <t>Benefit from battery</t>
  </si>
  <si>
    <t>Baseline avge. cost per day</t>
  </si>
  <si>
    <t>Total PV self consumption</t>
  </si>
  <si>
    <t>As proprtion of generation</t>
  </si>
  <si>
    <t>PV consumed directly</t>
  </si>
  <si>
    <t>Battery Finance Model</t>
  </si>
  <si>
    <t>Interest rate</t>
  </si>
  <si>
    <t>Capital cost</t>
  </si>
  <si>
    <t>Years</t>
  </si>
  <si>
    <t>Totals</t>
  </si>
  <si>
    <t>over term</t>
  </si>
  <si>
    <t>Years to payback</t>
  </si>
  <si>
    <t>Interest on debt</t>
  </si>
  <si>
    <t>Share repayment</t>
  </si>
  <si>
    <t>PV Finance Model</t>
  </si>
  <si>
    <t>Income from demand response</t>
  </si>
  <si>
    <t>Co-op expenditure</t>
  </si>
  <si>
    <t>Heating day model with system</t>
  </si>
  <si>
    <t>Non-heating day model with system</t>
  </si>
  <si>
    <t>Benefit Model</t>
  </si>
  <si>
    <t>Annual inflation in tariffs and DR</t>
  </si>
  <si>
    <t>Initial capital cost</t>
  </si>
  <si>
    <t>10 year replacement</t>
  </si>
  <si>
    <t>Smart Export Guarantee income</t>
  </si>
  <si>
    <t>Total annual Co-op secure income</t>
  </si>
  <si>
    <t>Co-Op Expenditure</t>
  </si>
  <si>
    <t xml:space="preserve">Interest rate on shares </t>
  </si>
  <si>
    <t>Years of payback</t>
  </si>
  <si>
    <t>Capital cost/share investment</t>
  </si>
  <si>
    <t>RPI</t>
  </si>
  <si>
    <t>Admin and maintenance %</t>
  </si>
  <si>
    <t>Totals over term</t>
  </si>
  <si>
    <t>Share Repayment</t>
  </si>
  <si>
    <t>Interest to shareholders</t>
  </si>
  <si>
    <t xml:space="preserve">Admin and maintenance </t>
  </si>
  <si>
    <t>Co-Op Income</t>
  </si>
  <si>
    <t>Total GSHP rating</t>
  </si>
  <si>
    <t>kW</t>
  </si>
  <si>
    <t>Total annual heat demand</t>
  </si>
  <si>
    <t>Tier 1 tariff</t>
  </si>
  <si>
    <t>Tier 2 tariff</t>
  </si>
  <si>
    <t>Tier threshold</t>
  </si>
  <si>
    <t>hours at rating</t>
  </si>
  <si>
    <t>CPI index</t>
  </si>
  <si>
    <t>Consumer service charge</t>
  </si>
  <si>
    <t>per kW per annum</t>
  </si>
  <si>
    <t>RHI Payment</t>
  </si>
  <si>
    <t>Consumer savings contribution</t>
  </si>
  <si>
    <t>No of dwellings</t>
  </si>
  <si>
    <t>Heat pump capacity</t>
  </si>
  <si>
    <t>Business model for battery</t>
  </si>
  <si>
    <t>Tariffs - British Gas Economy 7 (1 year fixed)</t>
  </si>
  <si>
    <t>Home Assumptions - storage heater baseline</t>
  </si>
  <si>
    <t>Proportion of heat at day rate</t>
  </si>
  <si>
    <t>RHI Finance Model - Shared Network GSHP for multiple dwellings each with battery and PV as in green block above</t>
  </si>
  <si>
    <t>Co-op outlay for battery and PV</t>
  </si>
  <si>
    <t>Total expenditure on GSHP system</t>
  </si>
  <si>
    <t>Total income from GSHP system</t>
  </si>
  <si>
    <t>Total annual expenditure</t>
  </si>
  <si>
    <t>Total annual income</t>
  </si>
  <si>
    <t>Aggregated Co-op income and expenditure for complete project for number of dwellings in K45</t>
  </si>
  <si>
    <t>Net margin</t>
  </si>
  <si>
    <t>Electricity net savings for consumer</t>
  </si>
  <si>
    <t>Battery-PV-GSHP benefits, finance, and business model for a cluster of sheltered bungalows on Economy 7 tariffs</t>
  </si>
  <si>
    <t>Capital cost per dwelling</t>
  </si>
  <si>
    <t>Benefit from PV and GSHP</t>
  </si>
  <si>
    <t>Total GCEC investment</t>
  </si>
</sst>
</file>

<file path=xl/styles.xml><?xml version="1.0" encoding="utf-8"?>
<styleSheet xmlns="http://schemas.openxmlformats.org/spreadsheetml/2006/main">
  <numFmts count="8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164" formatCode="&quot;£&quot;#,##0"/>
    <numFmt numFmtId="165" formatCode="&quot;£&quot;#,##0.000;[Red]\-&quot;£&quot;#,##0.000"/>
    <numFmt numFmtId="166" formatCode="&quot;£&quot;#,##0.00"/>
    <numFmt numFmtId="167" formatCode="&quot;£&quot;#,##0.00;[Red]&quot;£&quot;#,##0.00"/>
    <numFmt numFmtId="168" formatCode="#,##0_ ;[Red]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1" xfId="0" applyFill="1" applyBorder="1"/>
    <xf numFmtId="0" fontId="1" fillId="2" borderId="5" xfId="0" applyFont="1" applyFill="1" applyBorder="1"/>
    <xf numFmtId="9" fontId="0" fillId="2" borderId="0" xfId="0" applyNumberFormat="1" applyFill="1" applyBorder="1"/>
    <xf numFmtId="6" fontId="0" fillId="2" borderId="0" xfId="0" applyNumberFormat="1" applyFill="1" applyBorder="1"/>
    <xf numFmtId="8" fontId="0" fillId="2" borderId="0" xfId="0" applyNumberFormat="1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1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8" fontId="0" fillId="4" borderId="1" xfId="0" applyNumberFormat="1" applyFill="1" applyBorder="1"/>
    <xf numFmtId="0" fontId="0" fillId="4" borderId="6" xfId="0" applyFill="1" applyBorder="1"/>
    <xf numFmtId="8" fontId="0" fillId="4" borderId="8" xfId="0" applyNumberFormat="1" applyFill="1" applyBorder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165" fontId="0" fillId="5" borderId="0" xfId="0" applyNumberFormat="1" applyFill="1" applyBorder="1"/>
    <xf numFmtId="0" fontId="0" fillId="5" borderId="1" xfId="0" applyFill="1" applyBorder="1"/>
    <xf numFmtId="0" fontId="0" fillId="5" borderId="6" xfId="0" applyFill="1" applyBorder="1"/>
    <xf numFmtId="165" fontId="0" fillId="5" borderId="7" xfId="0" applyNumberFormat="1" applyFill="1" applyBorder="1"/>
    <xf numFmtId="0" fontId="0" fillId="5" borderId="8" xfId="0" applyFill="1" applyBorder="1"/>
    <xf numFmtId="0" fontId="0" fillId="6" borderId="0" xfId="0" applyFill="1" applyBorder="1"/>
    <xf numFmtId="0" fontId="1" fillId="6" borderId="0" xfId="0" applyFont="1" applyFill="1" applyBorder="1"/>
    <xf numFmtId="0" fontId="1" fillId="6" borderId="2" xfId="0" applyFont="1" applyFill="1" applyBorder="1"/>
    <xf numFmtId="0" fontId="0" fillId="6" borderId="3" xfId="0" applyFill="1" applyBorder="1"/>
    <xf numFmtId="0" fontId="0" fillId="6" borderId="5" xfId="0" applyFill="1" applyBorder="1"/>
    <xf numFmtId="9" fontId="0" fillId="6" borderId="0" xfId="0" applyNumberFormat="1" applyFill="1" applyBorder="1"/>
    <xf numFmtId="6" fontId="0" fillId="6" borderId="0" xfId="0" applyNumberFormat="1" applyFill="1" applyBorder="1"/>
    <xf numFmtId="166" fontId="0" fillId="6" borderId="0" xfId="0" applyNumberFormat="1" applyFill="1" applyBorder="1"/>
    <xf numFmtId="0" fontId="1" fillId="6" borderId="5" xfId="0" applyFont="1" applyFill="1" applyBorder="1"/>
    <xf numFmtId="8" fontId="0" fillId="6" borderId="0" xfId="0" applyNumberFormat="1" applyFill="1" applyBorder="1"/>
    <xf numFmtId="0" fontId="0" fillId="6" borderId="6" xfId="0" applyFill="1" applyBorder="1"/>
    <xf numFmtId="0" fontId="0" fillId="6" borderId="7" xfId="0" applyFill="1" applyBorder="1"/>
    <xf numFmtId="8" fontId="0" fillId="6" borderId="7" xfId="0" applyNumberFormat="1" applyFill="1" applyBorder="1"/>
    <xf numFmtId="0" fontId="1" fillId="3" borderId="2" xfId="0" applyFont="1" applyFill="1" applyBorder="1"/>
    <xf numFmtId="8" fontId="0" fillId="3" borderId="3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1" xfId="0" applyFill="1" applyBorder="1"/>
    <xf numFmtId="0" fontId="1" fillId="3" borderId="5" xfId="0" applyFont="1" applyFill="1" applyBorder="1"/>
    <xf numFmtId="2" fontId="0" fillId="3" borderId="0" xfId="0" applyNumberFormat="1" applyFill="1" applyBorder="1"/>
    <xf numFmtId="9" fontId="0" fillId="3" borderId="0" xfId="0" applyNumberFormat="1" applyFill="1" applyBorder="1"/>
    <xf numFmtId="8" fontId="0" fillId="3" borderId="0" xfId="0" applyNumberFormat="1" applyFill="1" applyBorder="1"/>
    <xf numFmtId="0" fontId="0" fillId="3" borderId="6" xfId="0" applyFill="1" applyBorder="1"/>
    <xf numFmtId="9" fontId="0" fillId="3" borderId="7" xfId="0" applyNumberFormat="1" applyFill="1" applyBorder="1"/>
    <xf numFmtId="0" fontId="0" fillId="3" borderId="8" xfId="0" applyFill="1" applyBorder="1"/>
    <xf numFmtId="7" fontId="0" fillId="6" borderId="0" xfId="0" applyNumberFormat="1" applyFill="1" applyBorder="1"/>
    <xf numFmtId="0" fontId="0" fillId="6" borderId="9" xfId="0" applyFill="1" applyBorder="1"/>
    <xf numFmtId="0" fontId="0" fillId="6" borderId="10" xfId="0" applyFill="1" applyBorder="1"/>
    <xf numFmtId="0" fontId="1" fillId="6" borderId="10" xfId="0" applyFont="1" applyFill="1" applyBorder="1"/>
    <xf numFmtId="166" fontId="0" fillId="6" borderId="10" xfId="0" applyNumberFormat="1" applyFill="1" applyBorder="1"/>
    <xf numFmtId="166" fontId="0" fillId="6" borderId="11" xfId="0" applyNumberFormat="1" applyFill="1" applyBorder="1"/>
    <xf numFmtId="0" fontId="0" fillId="6" borderId="0" xfId="0" applyFill="1"/>
    <xf numFmtId="8" fontId="0" fillId="6" borderId="0" xfId="0" applyNumberFormat="1" applyFill="1"/>
    <xf numFmtId="1" fontId="0" fillId="2" borderId="0" xfId="0" applyNumberFormat="1" applyFill="1" applyBorder="1"/>
    <xf numFmtId="0" fontId="0" fillId="2" borderId="0" xfId="0" applyFill="1"/>
    <xf numFmtId="0" fontId="1" fillId="7" borderId="2" xfId="0" applyFont="1" applyFill="1" applyBorder="1"/>
    <xf numFmtId="0" fontId="0" fillId="7" borderId="3" xfId="0" applyFill="1" applyBorder="1"/>
    <xf numFmtId="0" fontId="1" fillId="7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9" fontId="0" fillId="7" borderId="0" xfId="0" applyNumberFormat="1" applyFill="1" applyBorder="1"/>
    <xf numFmtId="0" fontId="0" fillId="7" borderId="0" xfId="0" applyFill="1" applyBorder="1"/>
    <xf numFmtId="0" fontId="0" fillId="7" borderId="1" xfId="0" applyFill="1" applyBorder="1"/>
    <xf numFmtId="6" fontId="0" fillId="7" borderId="0" xfId="0" applyNumberFormat="1" applyFill="1" applyBorder="1"/>
    <xf numFmtId="0" fontId="1" fillId="7" borderId="0" xfId="0" applyFont="1" applyFill="1" applyBorder="1"/>
    <xf numFmtId="0" fontId="1" fillId="7" borderId="1" xfId="0" applyFont="1" applyFill="1" applyBorder="1"/>
    <xf numFmtId="8" fontId="0" fillId="7" borderId="0" xfId="0" applyNumberFormat="1" applyFill="1" applyBorder="1"/>
    <xf numFmtId="8" fontId="0" fillId="7" borderId="1" xfId="0" applyNumberFormat="1" applyFill="1" applyBorder="1"/>
    <xf numFmtId="167" fontId="0" fillId="7" borderId="0" xfId="0" applyNumberFormat="1" applyFill="1" applyBorder="1"/>
    <xf numFmtId="0" fontId="0" fillId="7" borderId="6" xfId="0" applyFill="1" applyBorder="1"/>
    <xf numFmtId="0" fontId="0" fillId="7" borderId="7" xfId="0" applyFill="1" applyBorder="1"/>
    <xf numFmtId="8" fontId="0" fillId="7" borderId="7" xfId="0" applyNumberFormat="1" applyFill="1" applyBorder="1"/>
    <xf numFmtId="8" fontId="0" fillId="7" borderId="8" xfId="0" applyNumberFormat="1" applyFill="1" applyBorder="1"/>
    <xf numFmtId="0" fontId="0" fillId="7" borderId="2" xfId="0" applyFill="1" applyBorder="1"/>
    <xf numFmtId="8" fontId="0" fillId="7" borderId="3" xfId="0" applyNumberFormat="1" applyFill="1" applyBorder="1"/>
    <xf numFmtId="8" fontId="1" fillId="7" borderId="3" xfId="0" applyNumberFormat="1" applyFont="1" applyFill="1" applyBorder="1"/>
    <xf numFmtId="3" fontId="0" fillId="7" borderId="0" xfId="0" applyNumberFormat="1" applyFill="1" applyBorder="1"/>
    <xf numFmtId="168" fontId="0" fillId="7" borderId="0" xfId="0" applyNumberFormat="1" applyFill="1" applyBorder="1"/>
    <xf numFmtId="0" fontId="1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8" fontId="0" fillId="8" borderId="0" xfId="0" applyNumberFormat="1" applyFill="1" applyBorder="1"/>
    <xf numFmtId="0" fontId="0" fillId="8" borderId="1" xfId="0" applyFill="1" applyBorder="1"/>
    <xf numFmtId="0" fontId="0" fillId="8" borderId="6" xfId="0" applyFill="1" applyBorder="1"/>
    <xf numFmtId="8" fontId="0" fillId="8" borderId="7" xfId="0" applyNumberFormat="1" applyFill="1" applyBorder="1"/>
    <xf numFmtId="8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Fill="1" applyBorder="1"/>
    <xf numFmtId="9" fontId="0" fillId="2" borderId="0" xfId="0" applyNumberFormat="1" applyFill="1"/>
    <xf numFmtId="0" fontId="1" fillId="8" borderId="0" xfId="0" applyFont="1" applyFill="1" applyBorder="1"/>
    <xf numFmtId="0" fontId="0" fillId="8" borderId="0" xfId="0" applyFill="1" applyBorder="1"/>
    <xf numFmtId="0" fontId="1" fillId="8" borderId="1" xfId="0" applyFont="1" applyFill="1" applyBorder="1"/>
    <xf numFmtId="0" fontId="0" fillId="8" borderId="7" xfId="0" applyFill="1" applyBorder="1"/>
    <xf numFmtId="8" fontId="0" fillId="8" borderId="1" xfId="0" applyNumberFormat="1" applyFill="1" applyBorder="1"/>
    <xf numFmtId="8" fontId="0" fillId="8" borderId="8" xfId="0" applyNumberFormat="1" applyFill="1" applyBorder="1"/>
    <xf numFmtId="0" fontId="0" fillId="7" borderId="2" xfId="0" applyFont="1" applyFill="1" applyBorder="1"/>
    <xf numFmtId="6" fontId="0" fillId="7" borderId="3" xfId="0" applyNumberFormat="1" applyFill="1" applyBorder="1"/>
    <xf numFmtId="6" fontId="0" fillId="8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topLeftCell="T52" workbookViewId="0">
      <selection activeCell="G5" sqref="G5"/>
    </sheetView>
  </sheetViews>
  <sheetFormatPr defaultRowHeight="15"/>
  <cols>
    <col min="1" max="1" width="4" customWidth="1"/>
    <col min="2" max="2" width="28" customWidth="1"/>
    <col min="3" max="3" width="13.42578125" customWidth="1"/>
    <col min="4" max="4" width="11.140625" customWidth="1"/>
    <col min="5" max="5" width="4.85546875" customWidth="1"/>
    <col min="6" max="6" width="25.28515625" customWidth="1"/>
    <col min="7" max="7" width="12.42578125" customWidth="1"/>
    <col min="8" max="8" width="9.85546875" customWidth="1"/>
    <col min="9" max="9" width="5.5703125" customWidth="1"/>
    <col min="10" max="10" width="25.85546875" customWidth="1"/>
    <col min="11" max="11" width="11.85546875" customWidth="1"/>
    <col min="12" max="12" width="10.7109375" customWidth="1"/>
    <col min="13" max="13" width="11.28515625" customWidth="1"/>
    <col min="14" max="14" width="11.140625" bestFit="1" customWidth="1"/>
    <col min="15" max="15" width="10.42578125" customWidth="1"/>
    <col min="16" max="16" width="10.28515625" customWidth="1"/>
    <col min="17" max="17" width="10" customWidth="1"/>
    <col min="18" max="18" width="10.5703125" customWidth="1"/>
    <col min="19" max="19" width="10.28515625" customWidth="1"/>
    <col min="20" max="20" width="10.7109375" customWidth="1"/>
    <col min="21" max="21" width="11.42578125" customWidth="1"/>
    <col min="22" max="22" width="12" customWidth="1"/>
    <col min="23" max="23" width="10.85546875" customWidth="1"/>
    <col min="24" max="24" width="11.140625" customWidth="1"/>
    <col min="25" max="25" width="10.5703125" customWidth="1"/>
    <col min="26" max="26" width="10.85546875" customWidth="1"/>
    <col min="27" max="27" width="11" customWidth="1"/>
    <col min="28" max="28" width="11.28515625" customWidth="1"/>
    <col min="29" max="29" width="11" customWidth="1"/>
    <col min="30" max="30" width="10.7109375" customWidth="1"/>
    <col min="31" max="31" width="10.5703125" customWidth="1"/>
    <col min="32" max="32" width="16.42578125" customWidth="1"/>
  </cols>
  <sheetData>
    <row r="1" spans="1:32" ht="24" customHeight="1">
      <c r="A1" s="1" t="s">
        <v>117</v>
      </c>
    </row>
    <row r="2" spans="1:32" ht="24.75" customHeight="1"/>
    <row r="3" spans="1:32">
      <c r="B3" s="2" t="s">
        <v>106</v>
      </c>
      <c r="C3" s="3"/>
      <c r="D3" s="4"/>
      <c r="F3" s="15" t="s">
        <v>73</v>
      </c>
      <c r="G3" s="16"/>
      <c r="J3" s="32" t="s">
        <v>59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57"/>
    </row>
    <row r="4" spans="1:32" ht="16.5" customHeight="1">
      <c r="B4" s="5" t="s">
        <v>0</v>
      </c>
      <c r="C4" s="6">
        <v>6000</v>
      </c>
      <c r="D4" s="7" t="s">
        <v>1</v>
      </c>
      <c r="F4" s="17" t="s">
        <v>28</v>
      </c>
      <c r="G4" s="18">
        <f>(C4*(1-C5/100)*C31)+((C10+C5*C4)*C30)+(365*C32)</f>
        <v>1239.5335599999999</v>
      </c>
      <c r="J4" s="34" t="s">
        <v>60</v>
      </c>
      <c r="K4" s="35">
        <v>0.03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58"/>
    </row>
    <row r="5" spans="1:32" ht="15" customHeight="1">
      <c r="B5" s="5" t="s">
        <v>107</v>
      </c>
      <c r="C5" s="100">
        <v>0.1</v>
      </c>
      <c r="D5" s="7"/>
      <c r="F5" s="17" t="s">
        <v>47</v>
      </c>
      <c r="G5" s="18">
        <f>C12*G30+(365-C12)*G47+365*C32</f>
        <v>558.37921000000006</v>
      </c>
      <c r="J5" s="34" t="s">
        <v>65</v>
      </c>
      <c r="K5" s="30">
        <f>C18</f>
        <v>10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0"/>
      <c r="X5" s="30"/>
      <c r="Y5" s="30"/>
      <c r="Z5" s="30"/>
      <c r="AA5" s="30"/>
      <c r="AB5" s="30"/>
      <c r="AC5" s="30"/>
      <c r="AD5" s="30"/>
      <c r="AE5" s="30"/>
      <c r="AF5" s="59" t="s">
        <v>63</v>
      </c>
    </row>
    <row r="6" spans="1:32" ht="15.75" customHeight="1">
      <c r="B6" s="5" t="s">
        <v>103</v>
      </c>
      <c r="C6" s="65">
        <v>6</v>
      </c>
      <c r="D6" s="7" t="s">
        <v>91</v>
      </c>
      <c r="F6" s="17" t="s">
        <v>51</v>
      </c>
      <c r="G6" s="18">
        <f>G4-G5</f>
        <v>681.15434999999979</v>
      </c>
      <c r="J6" s="34" t="s">
        <v>75</v>
      </c>
      <c r="K6" s="36">
        <f>C19</f>
        <v>2000</v>
      </c>
      <c r="L6" s="30"/>
      <c r="M6" s="30"/>
      <c r="N6" s="31" t="s">
        <v>62</v>
      </c>
      <c r="O6" s="30"/>
      <c r="P6" s="30"/>
      <c r="Q6" s="30"/>
      <c r="R6" s="30"/>
      <c r="S6" s="30"/>
      <c r="T6" s="30"/>
      <c r="U6" s="30"/>
      <c r="V6" s="31"/>
      <c r="W6" s="30"/>
      <c r="X6" s="30"/>
      <c r="Y6" s="30"/>
      <c r="Z6" s="30"/>
      <c r="AA6" s="30"/>
      <c r="AB6" s="30"/>
      <c r="AC6" s="30"/>
      <c r="AD6" s="30"/>
      <c r="AE6" s="30"/>
      <c r="AF6" s="59" t="s">
        <v>64</v>
      </c>
    </row>
    <row r="7" spans="1:32">
      <c r="B7" s="5" t="s">
        <v>2</v>
      </c>
      <c r="C7" s="6">
        <v>3</v>
      </c>
      <c r="D7" s="7"/>
      <c r="F7" s="17" t="s">
        <v>52</v>
      </c>
      <c r="G7" s="18">
        <f>365*C20</f>
        <v>50.005000000000003</v>
      </c>
      <c r="J7" s="34" t="s">
        <v>76</v>
      </c>
      <c r="K7" s="36">
        <v>1000</v>
      </c>
      <c r="L7" s="31">
        <v>1</v>
      </c>
      <c r="M7" s="31">
        <v>2</v>
      </c>
      <c r="N7" s="31">
        <v>3</v>
      </c>
      <c r="O7" s="31">
        <v>4</v>
      </c>
      <c r="P7" s="31">
        <v>5</v>
      </c>
      <c r="Q7" s="31">
        <v>6</v>
      </c>
      <c r="R7" s="31">
        <v>7</v>
      </c>
      <c r="S7" s="31">
        <v>8</v>
      </c>
      <c r="T7" s="31">
        <v>9</v>
      </c>
      <c r="U7" s="31">
        <v>10</v>
      </c>
      <c r="V7" s="31">
        <v>11</v>
      </c>
      <c r="W7" s="31">
        <v>12</v>
      </c>
      <c r="X7" s="31">
        <v>13</v>
      </c>
      <c r="Y7" s="31">
        <v>14</v>
      </c>
      <c r="Z7" s="31">
        <v>15</v>
      </c>
      <c r="AA7" s="31">
        <v>16</v>
      </c>
      <c r="AB7" s="31">
        <v>17</v>
      </c>
      <c r="AC7" s="31">
        <v>18</v>
      </c>
      <c r="AD7" s="31">
        <v>19</v>
      </c>
      <c r="AE7" s="31">
        <v>20</v>
      </c>
      <c r="AF7" s="58"/>
    </row>
    <row r="8" spans="1:32">
      <c r="B8" s="5" t="s">
        <v>3</v>
      </c>
      <c r="C8" s="64">
        <f>C4/C7</f>
        <v>2000</v>
      </c>
      <c r="D8" s="7" t="s">
        <v>1</v>
      </c>
      <c r="F8" s="17" t="s">
        <v>53</v>
      </c>
      <c r="G8" s="18">
        <f>SUM(G6:G7)</f>
        <v>731.15934999999979</v>
      </c>
      <c r="J8" s="34" t="s">
        <v>67</v>
      </c>
      <c r="K8" s="30"/>
      <c r="L8" s="37">
        <f t="shared" ref="L8:U8" si="0">PPMT($K$4,L7,$K$5,$K$6)*-1</f>
        <v>174.46101321031927</v>
      </c>
      <c r="M8" s="37">
        <f t="shared" si="0"/>
        <v>179.69484360662887</v>
      </c>
      <c r="N8" s="37">
        <f t="shared" si="0"/>
        <v>185.0856889148277</v>
      </c>
      <c r="O8" s="37">
        <f t="shared" si="0"/>
        <v>190.63825958227255</v>
      </c>
      <c r="P8" s="37">
        <f t="shared" si="0"/>
        <v>196.35740736974071</v>
      </c>
      <c r="Q8" s="37">
        <f t="shared" si="0"/>
        <v>202.24812959083292</v>
      </c>
      <c r="R8" s="37">
        <f t="shared" si="0"/>
        <v>208.31557347855789</v>
      </c>
      <c r="S8" s="37">
        <f t="shared" si="0"/>
        <v>214.56504068291466</v>
      </c>
      <c r="T8" s="37">
        <f t="shared" si="0"/>
        <v>221.00199190340209</v>
      </c>
      <c r="U8" s="37">
        <f t="shared" si="0"/>
        <v>227.63205166050415</v>
      </c>
      <c r="V8" s="37">
        <f>PPMT($K$4,V7-10,$K$5,$K$7)*-1</f>
        <v>87.230506605159604</v>
      </c>
      <c r="W8" s="37">
        <f>PPMT($K$4,W7-10,$K$5,$K$7)*-1</f>
        <v>89.847421803314376</v>
      </c>
      <c r="X8" s="37">
        <f t="shared" ref="X8:AE8" si="1">PPMT($K$4,X7-10,$K$5,$K$7)*-1</f>
        <v>92.542844457413793</v>
      </c>
      <c r="Y8" s="37">
        <f t="shared" si="1"/>
        <v>95.319129791136206</v>
      </c>
      <c r="Z8" s="37">
        <f t="shared" si="1"/>
        <v>98.178703684870314</v>
      </c>
      <c r="AA8" s="37">
        <f t="shared" si="1"/>
        <v>101.12406479541642</v>
      </c>
      <c r="AB8" s="37">
        <f t="shared" si="1"/>
        <v>104.15778673927892</v>
      </c>
      <c r="AC8" s="37">
        <f t="shared" si="1"/>
        <v>107.28252034145729</v>
      </c>
      <c r="AD8" s="37">
        <f t="shared" si="1"/>
        <v>110.500995951701</v>
      </c>
      <c r="AE8" s="37">
        <f t="shared" si="1"/>
        <v>113.81602583025203</v>
      </c>
      <c r="AF8" s="60">
        <f t="shared" ref="AF8:AF11" si="2">SUM(L8:AE8)</f>
        <v>3000.0000000000009</v>
      </c>
    </row>
    <row r="9" spans="1:32">
      <c r="B9" s="5" t="s">
        <v>5</v>
      </c>
      <c r="C9" s="6">
        <v>6</v>
      </c>
      <c r="D9" s="7" t="s">
        <v>4</v>
      </c>
      <c r="F9" s="17" t="s">
        <v>54</v>
      </c>
      <c r="G9" s="18">
        <f>G7+C12*C15*C16*(C30-C31)+(365-C12)*C15*C16*(C30-C29)</f>
        <v>248.71866399999999</v>
      </c>
      <c r="J9" s="34" t="s">
        <v>66</v>
      </c>
      <c r="K9" s="30"/>
      <c r="L9" s="36">
        <f>$K$4*K6</f>
        <v>60</v>
      </c>
      <c r="M9" s="37">
        <f>($K$6-L8)*$K$4</f>
        <v>54.766169603690415</v>
      </c>
      <c r="N9" s="37">
        <f>($K$6-M8-L8)*$K$4</f>
        <v>49.375324295491559</v>
      </c>
      <c r="O9" s="37">
        <f>($K$6-SUM(L8:N8))*$K$4</f>
        <v>43.822753628046719</v>
      </c>
      <c r="P9" s="37">
        <f>($K$6-SUM(L8:O8))*$K$4</f>
        <v>38.103605840578545</v>
      </c>
      <c r="Q9" s="37">
        <f>($K$6-SUM(L8:P8))*$K$4</f>
        <v>32.212883619486327</v>
      </c>
      <c r="R9" s="37">
        <f>($K$6-SUM(L8:Q8))*$K$4</f>
        <v>26.145439731761336</v>
      </c>
      <c r="S9" s="37">
        <f>($K$6-SUM(L8:R8))*$K$4</f>
        <v>19.895972527404595</v>
      </c>
      <c r="T9" s="37">
        <f>($K$6-SUM(L8:S8))*$K$4</f>
        <v>13.459021306917155</v>
      </c>
      <c r="U9" s="37">
        <f>($K$6-SUM(L8:T8))*$K$4</f>
        <v>6.8289615498150917</v>
      </c>
      <c r="V9" s="36">
        <f>$K$4*K7</f>
        <v>30</v>
      </c>
      <c r="W9" s="37">
        <f>($K$7-V8)*$K$4</f>
        <v>27.383084801845211</v>
      </c>
      <c r="X9" s="37">
        <f>($K$7-W8-V8)*$K$4</f>
        <v>24.687662147745783</v>
      </c>
      <c r="Y9" s="37">
        <f>($K$7-SUM($V8:X8))*$K$4</f>
        <v>21.911376814023363</v>
      </c>
      <c r="Z9" s="37">
        <f>($K$7-SUM($V8:Y8))*$K$4</f>
        <v>19.051802920289276</v>
      </c>
      <c r="AA9" s="37">
        <f>($K$7-SUM($V8:Z8))*$K$4</f>
        <v>16.106441809743171</v>
      </c>
      <c r="AB9" s="37">
        <f>($K$7-SUM($V8:AA8))*$K$4</f>
        <v>13.072719865880678</v>
      </c>
      <c r="AC9" s="37">
        <f>($K$7-SUM($V8:AB8))*$K$4</f>
        <v>9.9479862637023118</v>
      </c>
      <c r="AD9" s="37">
        <f>($K$7-SUM($V8:AC8))*$K$4</f>
        <v>6.7295106534585942</v>
      </c>
      <c r="AE9" s="37">
        <f>($K$7-SUM($V8:AD8))*$K$4</f>
        <v>3.4144807749075627</v>
      </c>
      <c r="AF9" s="60">
        <f t="shared" si="2"/>
        <v>516.91519815478773</v>
      </c>
    </row>
    <row r="10" spans="1:32">
      <c r="B10" s="5" t="s">
        <v>6</v>
      </c>
      <c r="C10" s="6">
        <f>365*C9</f>
        <v>2190</v>
      </c>
      <c r="D10" s="7" t="s">
        <v>1</v>
      </c>
      <c r="F10" s="19" t="s">
        <v>119</v>
      </c>
      <c r="G10" s="20">
        <f>G8-G9</f>
        <v>482.4406859999998</v>
      </c>
      <c r="J10" s="3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7"/>
      <c r="W10" s="30"/>
      <c r="X10" s="30"/>
      <c r="Y10" s="30"/>
      <c r="Z10" s="30"/>
      <c r="AA10" s="30"/>
      <c r="AB10" s="30"/>
      <c r="AC10" s="30"/>
      <c r="AD10" s="30"/>
      <c r="AE10" s="30"/>
      <c r="AF10" s="60"/>
    </row>
    <row r="11" spans="1:32">
      <c r="B11" s="5" t="s">
        <v>7</v>
      </c>
      <c r="C11" s="64">
        <f>C10+C8</f>
        <v>4190</v>
      </c>
      <c r="D11" s="7" t="s">
        <v>1</v>
      </c>
      <c r="J11" s="34" t="s">
        <v>70</v>
      </c>
      <c r="K11" s="30"/>
      <c r="L11" s="37">
        <f>SUM(L8:L10)</f>
        <v>234.46101321031927</v>
      </c>
      <c r="M11" s="37">
        <f t="shared" ref="M11:AE11" si="3">SUM(M8:M10)</f>
        <v>234.46101321031927</v>
      </c>
      <c r="N11" s="37">
        <f t="shared" si="3"/>
        <v>234.46101321031927</v>
      </c>
      <c r="O11" s="37">
        <f t="shared" si="3"/>
        <v>234.46101321031927</v>
      </c>
      <c r="P11" s="37">
        <f t="shared" si="3"/>
        <v>234.46101321031927</v>
      </c>
      <c r="Q11" s="37">
        <f t="shared" si="3"/>
        <v>234.46101321031924</v>
      </c>
      <c r="R11" s="37">
        <f t="shared" si="3"/>
        <v>234.46101321031924</v>
      </c>
      <c r="S11" s="37">
        <f t="shared" si="3"/>
        <v>234.46101321031927</v>
      </c>
      <c r="T11" s="37">
        <f t="shared" si="3"/>
        <v>234.46101321031924</v>
      </c>
      <c r="U11" s="37">
        <f t="shared" si="3"/>
        <v>234.46101321031924</v>
      </c>
      <c r="V11" s="37">
        <f t="shared" si="3"/>
        <v>117.2305066051596</v>
      </c>
      <c r="W11" s="37">
        <f t="shared" si="3"/>
        <v>117.23050660515959</v>
      </c>
      <c r="X11" s="37">
        <f t="shared" si="3"/>
        <v>117.23050660515958</v>
      </c>
      <c r="Y11" s="37">
        <f t="shared" si="3"/>
        <v>117.23050660515958</v>
      </c>
      <c r="Z11" s="37">
        <f t="shared" si="3"/>
        <v>117.23050660515959</v>
      </c>
      <c r="AA11" s="37">
        <f t="shared" si="3"/>
        <v>117.23050660515959</v>
      </c>
      <c r="AB11" s="37">
        <f t="shared" si="3"/>
        <v>117.2305066051596</v>
      </c>
      <c r="AC11" s="37">
        <f t="shared" si="3"/>
        <v>117.2305066051596</v>
      </c>
      <c r="AD11" s="37">
        <f t="shared" si="3"/>
        <v>117.23050660515959</v>
      </c>
      <c r="AE11" s="37">
        <f t="shared" si="3"/>
        <v>117.23050660515959</v>
      </c>
      <c r="AF11" s="60">
        <f t="shared" si="2"/>
        <v>3516.9151981547875</v>
      </c>
    </row>
    <row r="12" spans="1:32">
      <c r="B12" s="5" t="s">
        <v>20</v>
      </c>
      <c r="C12" s="6">
        <v>220</v>
      </c>
      <c r="D12" s="7" t="s">
        <v>21</v>
      </c>
      <c r="F12" s="43" t="s">
        <v>55</v>
      </c>
      <c r="G12" s="44">
        <f>G4/365</f>
        <v>3.3959823561643834</v>
      </c>
      <c r="H12" s="45"/>
      <c r="J12" s="3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60"/>
    </row>
    <row r="13" spans="1:32">
      <c r="B13" s="5"/>
      <c r="C13" s="6"/>
      <c r="D13" s="7"/>
      <c r="F13" s="46"/>
      <c r="G13" s="47"/>
      <c r="H13" s="48"/>
      <c r="J13" s="38" t="s">
        <v>68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60"/>
    </row>
    <row r="14" spans="1:32">
      <c r="B14" s="8" t="s">
        <v>49</v>
      </c>
      <c r="C14" s="6"/>
      <c r="D14" s="7"/>
      <c r="F14" s="49" t="s">
        <v>71</v>
      </c>
      <c r="G14" s="47"/>
      <c r="H14" s="48"/>
      <c r="J14" s="34" t="s">
        <v>60</v>
      </c>
      <c r="K14" s="35">
        <v>0.03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60"/>
    </row>
    <row r="15" spans="1:32">
      <c r="B15" s="5" t="s">
        <v>8</v>
      </c>
      <c r="C15" s="6">
        <v>4.8</v>
      </c>
      <c r="D15" s="7" t="s">
        <v>9</v>
      </c>
      <c r="F15" s="46" t="s">
        <v>34</v>
      </c>
      <c r="G15" s="50">
        <f>(C8/C12)+C9+G22</f>
        <v>15.666909090909092</v>
      </c>
      <c r="H15" s="48" t="s">
        <v>4</v>
      </c>
      <c r="J15" s="34" t="s">
        <v>65</v>
      </c>
      <c r="K15" s="30">
        <v>20</v>
      </c>
      <c r="L15" s="30"/>
      <c r="M15" s="30"/>
      <c r="N15" s="31" t="s">
        <v>62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60"/>
    </row>
    <row r="16" spans="1:32">
      <c r="B16" s="5" t="s">
        <v>10</v>
      </c>
      <c r="C16" s="9">
        <v>0.8</v>
      </c>
      <c r="D16" s="7"/>
      <c r="F16" s="46" t="s">
        <v>29</v>
      </c>
      <c r="G16" s="51">
        <v>0.42</v>
      </c>
      <c r="H16" s="48"/>
      <c r="J16" s="34" t="s">
        <v>61</v>
      </c>
      <c r="K16" s="36">
        <f>C26</f>
        <v>3000</v>
      </c>
      <c r="L16" s="31">
        <v>1</v>
      </c>
      <c r="M16" s="31">
        <v>2</v>
      </c>
      <c r="N16" s="31">
        <v>3</v>
      </c>
      <c r="O16" s="31">
        <v>4</v>
      </c>
      <c r="P16" s="31">
        <v>5</v>
      </c>
      <c r="Q16" s="31">
        <v>6</v>
      </c>
      <c r="R16" s="31">
        <v>7</v>
      </c>
      <c r="S16" s="31">
        <v>8</v>
      </c>
      <c r="T16" s="31">
        <v>9</v>
      </c>
      <c r="U16" s="31">
        <v>10</v>
      </c>
      <c r="V16" s="31">
        <v>11</v>
      </c>
      <c r="W16" s="31">
        <v>12</v>
      </c>
      <c r="X16" s="31">
        <v>13</v>
      </c>
      <c r="Y16" s="31">
        <v>14</v>
      </c>
      <c r="Z16" s="31">
        <v>15</v>
      </c>
      <c r="AA16" s="31">
        <v>16</v>
      </c>
      <c r="AB16" s="31">
        <v>17</v>
      </c>
      <c r="AC16" s="31">
        <v>18</v>
      </c>
      <c r="AD16" s="31">
        <v>19</v>
      </c>
      <c r="AE16" s="31">
        <v>20</v>
      </c>
      <c r="AF16" s="60"/>
    </row>
    <row r="17" spans="2:32">
      <c r="B17" s="5" t="s">
        <v>35</v>
      </c>
      <c r="C17" s="9">
        <v>0.85</v>
      </c>
      <c r="D17" s="7"/>
      <c r="F17" s="46" t="s">
        <v>30</v>
      </c>
      <c r="G17" s="50">
        <f>G16*C25/C12</f>
        <v>4.8681818181818182</v>
      </c>
      <c r="H17" s="48" t="s">
        <v>4</v>
      </c>
      <c r="J17" s="34" t="s">
        <v>67</v>
      </c>
      <c r="K17" s="30"/>
      <c r="L17" s="37">
        <f t="shared" ref="L17:AE17" si="4">PPMT($K$14,L16,$K$15,$K$16)*-1</f>
        <v>111.64712279057747</v>
      </c>
      <c r="M17" s="37">
        <f t="shared" si="4"/>
        <v>114.9965364742948</v>
      </c>
      <c r="N17" s="37">
        <f t="shared" si="4"/>
        <v>118.44643256852363</v>
      </c>
      <c r="O17" s="37">
        <f t="shared" si="4"/>
        <v>121.99982554557936</v>
      </c>
      <c r="P17" s="37">
        <f t="shared" si="4"/>
        <v>125.65982031194672</v>
      </c>
      <c r="Q17" s="37">
        <f t="shared" si="4"/>
        <v>129.42961492130513</v>
      </c>
      <c r="R17" s="37">
        <f t="shared" si="4"/>
        <v>133.31250336894428</v>
      </c>
      <c r="S17" s="37">
        <f t="shared" si="4"/>
        <v>137.31187847001263</v>
      </c>
      <c r="T17" s="37">
        <f t="shared" si="4"/>
        <v>141.43123482411298</v>
      </c>
      <c r="U17" s="37">
        <f t="shared" si="4"/>
        <v>145.67417186883637</v>
      </c>
      <c r="V17" s="37">
        <f t="shared" si="4"/>
        <v>150.04439702490146</v>
      </c>
      <c r="W17" s="37">
        <f t="shared" si="4"/>
        <v>154.5457289356485</v>
      </c>
      <c r="X17" s="37">
        <f t="shared" si="4"/>
        <v>159.18210080371793</v>
      </c>
      <c r="Y17" s="37">
        <f t="shared" si="4"/>
        <v>163.95756382782949</v>
      </c>
      <c r="Z17" s="37">
        <f t="shared" si="4"/>
        <v>168.87629074266437</v>
      </c>
      <c r="AA17" s="37">
        <f t="shared" si="4"/>
        <v>173.94257946494432</v>
      </c>
      <c r="AB17" s="37">
        <f t="shared" si="4"/>
        <v>179.16085684889259</v>
      </c>
      <c r="AC17" s="37">
        <f t="shared" si="4"/>
        <v>184.53568255435937</v>
      </c>
      <c r="AD17" s="37">
        <f t="shared" si="4"/>
        <v>190.07175303099018</v>
      </c>
      <c r="AE17" s="37">
        <f t="shared" si="4"/>
        <v>195.77390562191985</v>
      </c>
      <c r="AF17" s="60">
        <f>SUM(L17:AE17)</f>
        <v>3000.0000000000014</v>
      </c>
    </row>
    <row r="18" spans="2:32">
      <c r="B18" s="5" t="s">
        <v>11</v>
      </c>
      <c r="C18" s="6">
        <v>10</v>
      </c>
      <c r="D18" s="7" t="s">
        <v>13</v>
      </c>
      <c r="F18" s="46" t="s">
        <v>31</v>
      </c>
      <c r="G18" s="51">
        <v>0.8</v>
      </c>
      <c r="H18" s="48"/>
      <c r="J18" s="34" t="s">
        <v>66</v>
      </c>
      <c r="K18" s="30"/>
      <c r="L18" s="36">
        <f>$K$14*K16</f>
        <v>90</v>
      </c>
      <c r="M18" s="37">
        <f>($K$16-L17)*$K$14</f>
        <v>86.65058631628267</v>
      </c>
      <c r="N18" s="37">
        <f>($K$16-SUM(L17:M17))*$K$14</f>
        <v>83.200690222053822</v>
      </c>
      <c r="O18" s="37">
        <f>($K$16-SUM(L17:N17))*$K$14</f>
        <v>79.647297244998114</v>
      </c>
      <c r="P18" s="37">
        <f>($K$16-SUM(L17:O17))*$K$14</f>
        <v>75.987302478630738</v>
      </c>
      <c r="Q18" s="37">
        <f>($K$16-SUM($L17:P17))*$K$14</f>
        <v>72.217507869272339</v>
      </c>
      <c r="R18" s="37">
        <f>($K$16-SUM($L17:Q17))*$K$14</f>
        <v>68.334619421633178</v>
      </c>
      <c r="S18" s="37">
        <f>($K$16-SUM($L17:R17))*$K$14</f>
        <v>64.335244320564854</v>
      </c>
      <c r="T18" s="37">
        <f>($K$16-SUM($L17:S17))*$K$14</f>
        <v>60.215887966464479</v>
      </c>
      <c r="U18" s="37">
        <f>($K$16-SUM($L17:T17))*$K$14</f>
        <v>55.972950921741088</v>
      </c>
      <c r="V18" s="37">
        <f>($K$16-SUM($L17:U17))*$K$14</f>
        <v>51.602725765675999</v>
      </c>
      <c r="W18" s="37">
        <f>($K$16-SUM($L17:V17))*$K$14</f>
        <v>47.101393854928958</v>
      </c>
      <c r="X18" s="37">
        <f>($K$16-SUM($L17:W17))*$K$14</f>
        <v>42.465021986859504</v>
      </c>
      <c r="Y18" s="37">
        <f>($K$16-SUM($L17:X17))*$K$14</f>
        <v>37.689558962747967</v>
      </c>
      <c r="Z18" s="37">
        <f>($K$16-SUM($L17:Y17))*$K$14</f>
        <v>32.770832047913075</v>
      </c>
      <c r="AA18" s="37">
        <f>($K$16-SUM($L17:Z17))*$K$14</f>
        <v>27.704543325633153</v>
      </c>
      <c r="AB18" s="37">
        <f>($K$16-SUM($L17:AA17))*$K$14</f>
        <v>22.486265941684827</v>
      </c>
      <c r="AC18" s="37">
        <f>($K$16-SUM($L17:AB17))*$K$14</f>
        <v>17.111440236218044</v>
      </c>
      <c r="AD18" s="37">
        <f>($K$16-SUM($L17:AC17))*$K$14</f>
        <v>11.575369759587261</v>
      </c>
      <c r="AE18" s="37">
        <f>($K$16-SUM($L17:AD17))*$K$14</f>
        <v>5.8732171686575523</v>
      </c>
      <c r="AF18" s="60">
        <f>SUM(L18:AE18)</f>
        <v>1032.9424558115475</v>
      </c>
    </row>
    <row r="19" spans="2:32">
      <c r="B19" s="5" t="s">
        <v>12</v>
      </c>
      <c r="C19" s="10">
        <f>4400-2400</f>
        <v>2000</v>
      </c>
      <c r="D19" s="7"/>
      <c r="F19" s="46" t="s">
        <v>32</v>
      </c>
      <c r="G19" s="50">
        <f>G18*G17</f>
        <v>3.8945454545454545</v>
      </c>
      <c r="H19" s="48" t="s">
        <v>4</v>
      </c>
      <c r="J19" s="3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60"/>
    </row>
    <row r="20" spans="2:32">
      <c r="B20" s="5" t="s">
        <v>14</v>
      </c>
      <c r="C20" s="11">
        <v>0.13700000000000001</v>
      </c>
      <c r="D20" s="7" t="s">
        <v>25</v>
      </c>
      <c r="F20" s="46" t="s">
        <v>33</v>
      </c>
      <c r="G20" s="50">
        <f>G17-G19</f>
        <v>0.97363636363636363</v>
      </c>
      <c r="H20" s="48" t="s">
        <v>4</v>
      </c>
      <c r="J20" s="34" t="s">
        <v>70</v>
      </c>
      <c r="K20" s="30"/>
      <c r="L20" s="37">
        <f>SUM(L17:L19)</f>
        <v>201.64712279057747</v>
      </c>
      <c r="M20" s="37">
        <f t="shared" ref="M20:AE20" si="5">SUM(M17:M19)</f>
        <v>201.64712279057747</v>
      </c>
      <c r="N20" s="37">
        <f t="shared" si="5"/>
        <v>201.64712279057744</v>
      </c>
      <c r="O20" s="37">
        <f t="shared" si="5"/>
        <v>201.64712279057747</v>
      </c>
      <c r="P20" s="37">
        <f t="shared" si="5"/>
        <v>201.64712279057744</v>
      </c>
      <c r="Q20" s="37">
        <f t="shared" si="5"/>
        <v>201.64712279057747</v>
      </c>
      <c r="R20" s="37">
        <f t="shared" si="5"/>
        <v>201.64712279057744</v>
      </c>
      <c r="S20" s="37">
        <f t="shared" si="5"/>
        <v>201.6471227905775</v>
      </c>
      <c r="T20" s="37">
        <f t="shared" si="5"/>
        <v>201.64712279057744</v>
      </c>
      <c r="U20" s="37">
        <f t="shared" si="5"/>
        <v>201.64712279057744</v>
      </c>
      <c r="V20" s="37">
        <f t="shared" si="5"/>
        <v>201.64712279057744</v>
      </c>
      <c r="W20" s="37">
        <f t="shared" si="5"/>
        <v>201.64712279057744</v>
      </c>
      <c r="X20" s="37">
        <f t="shared" si="5"/>
        <v>201.64712279057744</v>
      </c>
      <c r="Y20" s="37">
        <f t="shared" si="5"/>
        <v>201.64712279057744</v>
      </c>
      <c r="Z20" s="37">
        <f t="shared" si="5"/>
        <v>201.64712279057744</v>
      </c>
      <c r="AA20" s="37">
        <f t="shared" si="5"/>
        <v>201.64712279057747</v>
      </c>
      <c r="AB20" s="37">
        <f t="shared" si="5"/>
        <v>201.64712279057741</v>
      </c>
      <c r="AC20" s="37">
        <f t="shared" si="5"/>
        <v>201.64712279057741</v>
      </c>
      <c r="AD20" s="37">
        <f t="shared" si="5"/>
        <v>201.64712279057744</v>
      </c>
      <c r="AE20" s="37">
        <f t="shared" si="5"/>
        <v>201.64712279057741</v>
      </c>
      <c r="AF20" s="60">
        <f t="shared" ref="AF20:AF27" si="6">SUM(L20:AE20)</f>
        <v>4032.9424558115493</v>
      </c>
    </row>
    <row r="21" spans="2:32">
      <c r="B21" s="5"/>
      <c r="C21" s="6"/>
      <c r="D21" s="7"/>
      <c r="F21" s="46" t="s">
        <v>36</v>
      </c>
      <c r="G21" s="47">
        <f>C15*C16</f>
        <v>3.84</v>
      </c>
      <c r="H21" s="48" t="s">
        <v>4</v>
      </c>
      <c r="J21" s="34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60"/>
    </row>
    <row r="22" spans="2:32">
      <c r="B22" s="8" t="s">
        <v>50</v>
      </c>
      <c r="C22" s="6"/>
      <c r="D22" s="7"/>
      <c r="F22" s="46" t="s">
        <v>37</v>
      </c>
      <c r="G22" s="47">
        <f>G21*(1-C17)</f>
        <v>0.57600000000000007</v>
      </c>
      <c r="H22" s="48" t="s">
        <v>4</v>
      </c>
      <c r="J22" s="38" t="s">
        <v>104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60"/>
    </row>
    <row r="23" spans="2:32">
      <c r="B23" s="5" t="s">
        <v>15</v>
      </c>
      <c r="C23" s="6">
        <v>3</v>
      </c>
      <c r="D23" s="7" t="s">
        <v>16</v>
      </c>
      <c r="F23" s="46" t="s">
        <v>38</v>
      </c>
      <c r="G23" s="47">
        <f>0.1*C9</f>
        <v>0.60000000000000009</v>
      </c>
      <c r="H23" s="48" t="s">
        <v>4</v>
      </c>
      <c r="J23" s="34" t="s">
        <v>74</v>
      </c>
      <c r="K23" s="30"/>
      <c r="L23" s="35">
        <v>0.03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60"/>
    </row>
    <row r="24" spans="2:32">
      <c r="B24" s="5" t="s">
        <v>17</v>
      </c>
      <c r="C24" s="6">
        <v>850</v>
      </c>
      <c r="D24" s="7" t="s">
        <v>9</v>
      </c>
      <c r="F24" s="46" t="s">
        <v>39</v>
      </c>
      <c r="G24" s="47">
        <f>SUM(G21:G23)</f>
        <v>5.016</v>
      </c>
      <c r="H24" s="48" t="s">
        <v>4</v>
      </c>
      <c r="J24" s="34" t="s">
        <v>109</v>
      </c>
      <c r="K24" s="30"/>
      <c r="L24" s="37">
        <f>L11+L20</f>
        <v>436.10813600089671</v>
      </c>
      <c r="M24" s="37">
        <f t="shared" ref="M24:AE24" si="7">M11+M20</f>
        <v>436.10813600089671</v>
      </c>
      <c r="N24" s="37">
        <f t="shared" si="7"/>
        <v>436.10813600089671</v>
      </c>
      <c r="O24" s="37">
        <f t="shared" si="7"/>
        <v>436.10813600089671</v>
      </c>
      <c r="P24" s="37">
        <f t="shared" si="7"/>
        <v>436.10813600089671</v>
      </c>
      <c r="Q24" s="37">
        <f t="shared" si="7"/>
        <v>436.10813600089671</v>
      </c>
      <c r="R24" s="37">
        <f t="shared" si="7"/>
        <v>436.10813600089671</v>
      </c>
      <c r="S24" s="37">
        <f t="shared" si="7"/>
        <v>436.10813600089676</v>
      </c>
      <c r="T24" s="37">
        <f t="shared" si="7"/>
        <v>436.10813600089671</v>
      </c>
      <c r="U24" s="37">
        <f t="shared" si="7"/>
        <v>436.10813600089671</v>
      </c>
      <c r="V24" s="37">
        <f t="shared" si="7"/>
        <v>318.87762939573702</v>
      </c>
      <c r="W24" s="37">
        <f t="shared" si="7"/>
        <v>318.87762939573702</v>
      </c>
      <c r="X24" s="37">
        <f t="shared" si="7"/>
        <v>318.87762939573702</v>
      </c>
      <c r="Y24" s="37">
        <f t="shared" si="7"/>
        <v>318.87762939573702</v>
      </c>
      <c r="Z24" s="37">
        <f t="shared" si="7"/>
        <v>318.87762939573702</v>
      </c>
      <c r="AA24" s="37">
        <f t="shared" si="7"/>
        <v>318.87762939573707</v>
      </c>
      <c r="AB24" s="37">
        <f t="shared" si="7"/>
        <v>318.87762939573702</v>
      </c>
      <c r="AC24" s="37">
        <f t="shared" si="7"/>
        <v>318.87762939573702</v>
      </c>
      <c r="AD24" s="37">
        <f t="shared" si="7"/>
        <v>318.87762939573702</v>
      </c>
      <c r="AE24" s="37">
        <f t="shared" si="7"/>
        <v>318.87762939573702</v>
      </c>
      <c r="AF24" s="60">
        <f t="shared" si="6"/>
        <v>7549.8576539663381</v>
      </c>
    </row>
    <row r="25" spans="2:32">
      <c r="B25" s="5" t="s">
        <v>18</v>
      </c>
      <c r="C25" s="6">
        <f>C23*C24</f>
        <v>2550</v>
      </c>
      <c r="D25" s="7" t="s">
        <v>9</v>
      </c>
      <c r="F25" s="46" t="s">
        <v>40</v>
      </c>
      <c r="G25" s="50">
        <f>G15-(G19+G24)</f>
        <v>6.7563636363636377</v>
      </c>
      <c r="H25" s="48" t="s">
        <v>4</v>
      </c>
      <c r="J25" s="34" t="s">
        <v>69</v>
      </c>
      <c r="K25" s="30"/>
      <c r="L25" s="39">
        <f>G7</f>
        <v>50.005000000000003</v>
      </c>
      <c r="M25" s="56">
        <f t="shared" ref="M25:AB26" si="8">L25*(1+$L$23)</f>
        <v>51.50515</v>
      </c>
      <c r="N25" s="56">
        <f t="shared" si="8"/>
        <v>53.050304500000003</v>
      </c>
      <c r="O25" s="56">
        <f t="shared" si="8"/>
        <v>54.641813635000005</v>
      </c>
      <c r="P25" s="56">
        <f t="shared" si="8"/>
        <v>56.281068044050009</v>
      </c>
      <c r="Q25" s="56">
        <f t="shared" si="8"/>
        <v>57.969500085371514</v>
      </c>
      <c r="R25" s="56">
        <f t="shared" si="8"/>
        <v>59.708585087932661</v>
      </c>
      <c r="S25" s="56">
        <f t="shared" si="8"/>
        <v>61.499842640570641</v>
      </c>
      <c r="T25" s="56">
        <f t="shared" si="8"/>
        <v>63.344837919787764</v>
      </c>
      <c r="U25" s="56">
        <f t="shared" si="8"/>
        <v>65.245183057381396</v>
      </c>
      <c r="V25" s="56">
        <f t="shared" si="8"/>
        <v>67.20253854910284</v>
      </c>
      <c r="W25" s="56">
        <f t="shared" si="8"/>
        <v>69.218614705575931</v>
      </c>
      <c r="X25" s="56">
        <f t="shared" si="8"/>
        <v>71.29517314674321</v>
      </c>
      <c r="Y25" s="56">
        <f t="shared" si="8"/>
        <v>73.434028341145506</v>
      </c>
      <c r="Z25" s="56">
        <f t="shared" si="8"/>
        <v>75.637049191379873</v>
      </c>
      <c r="AA25" s="56">
        <f t="shared" si="8"/>
        <v>77.90616066712127</v>
      </c>
      <c r="AB25" s="56">
        <f t="shared" si="8"/>
        <v>80.243345487134917</v>
      </c>
      <c r="AC25" s="56">
        <f t="shared" ref="AC25:AE26" si="9">AB25*(1+$L$23)</f>
        <v>82.650645851748962</v>
      </c>
      <c r="AD25" s="56">
        <f t="shared" si="9"/>
        <v>85.130165227301433</v>
      </c>
      <c r="AE25" s="56">
        <f t="shared" si="9"/>
        <v>87.684070184120472</v>
      </c>
      <c r="AF25" s="60">
        <f t="shared" si="6"/>
        <v>1343.6530763214685</v>
      </c>
    </row>
    <row r="26" spans="2:32">
      <c r="B26" s="12" t="s">
        <v>19</v>
      </c>
      <c r="C26" s="13">
        <f>3500-500</f>
        <v>3000</v>
      </c>
      <c r="D26" s="14"/>
      <c r="F26" s="46" t="s">
        <v>41</v>
      </c>
      <c r="G26" s="52">
        <f>G24*C31</f>
        <v>0.45841223999999997</v>
      </c>
      <c r="H26" s="48"/>
      <c r="J26" s="34" t="s">
        <v>77</v>
      </c>
      <c r="K26" s="62"/>
      <c r="L26" s="63">
        <f>G29*C12+G46*(365-C12)</f>
        <v>41.639400000000002</v>
      </c>
      <c r="M26" s="63">
        <f t="shared" si="8"/>
        <v>42.888582000000007</v>
      </c>
      <c r="N26" s="63">
        <f t="shared" ref="N26" si="10">M26*(1+$L$23)</f>
        <v>44.175239460000007</v>
      </c>
      <c r="O26" s="63">
        <f t="shared" ref="O26" si="11">N26*(1+$L$23)</f>
        <v>45.500496643800005</v>
      </c>
      <c r="P26" s="63">
        <f t="shared" ref="P26" si="12">O26*(1+$L$23)</f>
        <v>46.865511543114003</v>
      </c>
      <c r="Q26" s="63">
        <f t="shared" ref="Q26" si="13">P26*(1+$L$23)</f>
        <v>48.271476889407424</v>
      </c>
      <c r="R26" s="63">
        <f t="shared" ref="R26" si="14">Q26*(1+$L$23)</f>
        <v>49.719621196089648</v>
      </c>
      <c r="S26" s="63">
        <f t="shared" ref="S26" si="15">R26*(1+$L$23)</f>
        <v>51.21120983197234</v>
      </c>
      <c r="T26" s="63">
        <f t="shared" ref="T26" si="16">S26*(1+$L$23)</f>
        <v>52.74754612693151</v>
      </c>
      <c r="U26" s="63">
        <f t="shared" ref="U26" si="17">T26*(1+$L$23)</f>
        <v>54.329972510739459</v>
      </c>
      <c r="V26" s="63">
        <f t="shared" ref="V26" si="18">U26*(1+$L$23)</f>
        <v>55.959871686061646</v>
      </c>
      <c r="W26" s="63">
        <f t="shared" ref="W26" si="19">V26*(1+$L$23)</f>
        <v>57.638667836643499</v>
      </c>
      <c r="X26" s="63">
        <f t="shared" ref="X26" si="20">W26*(1+$L$23)</f>
        <v>59.367827871742804</v>
      </c>
      <c r="Y26" s="63">
        <f t="shared" ref="Y26" si="21">X26*(1+$L$23)</f>
        <v>61.148862707895091</v>
      </c>
      <c r="Z26" s="63">
        <f t="shared" ref="Z26" si="22">Y26*(1+$L$23)</f>
        <v>62.983328589131943</v>
      </c>
      <c r="AA26" s="63">
        <f t="shared" ref="AA26" si="23">Z26*(1+$L$23)</f>
        <v>64.872828446805897</v>
      </c>
      <c r="AB26" s="63">
        <f t="shared" ref="AB26" si="24">AA26*(1+$L$23)</f>
        <v>66.819013300210074</v>
      </c>
      <c r="AC26" s="63">
        <f t="shared" si="9"/>
        <v>68.823583699216371</v>
      </c>
      <c r="AD26" s="63">
        <f t="shared" si="9"/>
        <v>70.888291210192861</v>
      </c>
      <c r="AE26" s="63">
        <f t="shared" si="9"/>
        <v>73.014939946498643</v>
      </c>
      <c r="AF26" s="60">
        <f t="shared" si="6"/>
        <v>1118.866271496453</v>
      </c>
    </row>
    <row r="27" spans="2:32">
      <c r="F27" s="46" t="s">
        <v>42</v>
      </c>
      <c r="G27" s="52">
        <f>G25*C30</f>
        <v>1.477684290909091</v>
      </c>
      <c r="H27" s="48"/>
      <c r="J27" s="34" t="s">
        <v>78</v>
      </c>
      <c r="K27" s="62"/>
      <c r="L27" s="63">
        <f>L25+L26</f>
        <v>91.644400000000005</v>
      </c>
      <c r="M27" s="63">
        <f t="shared" ref="M27:AE27" si="25">M25+M26</f>
        <v>94.393732</v>
      </c>
      <c r="N27" s="63">
        <f t="shared" si="25"/>
        <v>97.22554396000001</v>
      </c>
      <c r="O27" s="63">
        <f t="shared" si="25"/>
        <v>100.14231027880001</v>
      </c>
      <c r="P27" s="63">
        <f t="shared" si="25"/>
        <v>103.14657958716401</v>
      </c>
      <c r="Q27" s="63">
        <f t="shared" si="25"/>
        <v>106.24097697477893</v>
      </c>
      <c r="R27" s="63">
        <f t="shared" si="25"/>
        <v>109.42820628402231</v>
      </c>
      <c r="S27" s="63">
        <f t="shared" si="25"/>
        <v>112.71105247254297</v>
      </c>
      <c r="T27" s="63">
        <f t="shared" si="25"/>
        <v>116.09238404671927</v>
      </c>
      <c r="U27" s="63">
        <f t="shared" si="25"/>
        <v>119.57515556812086</v>
      </c>
      <c r="V27" s="63">
        <f t="shared" si="25"/>
        <v>123.16241023516449</v>
      </c>
      <c r="W27" s="63">
        <f t="shared" si="25"/>
        <v>126.85728254221942</v>
      </c>
      <c r="X27" s="63">
        <f t="shared" si="25"/>
        <v>130.663001018486</v>
      </c>
      <c r="Y27" s="63">
        <f t="shared" si="25"/>
        <v>134.5828910490406</v>
      </c>
      <c r="Z27" s="63">
        <f t="shared" si="25"/>
        <v>138.62037778051183</v>
      </c>
      <c r="AA27" s="63">
        <f t="shared" si="25"/>
        <v>142.77898911392717</v>
      </c>
      <c r="AB27" s="63">
        <f t="shared" si="25"/>
        <v>147.06235878734498</v>
      </c>
      <c r="AC27" s="63">
        <f t="shared" si="25"/>
        <v>151.47422955096533</v>
      </c>
      <c r="AD27" s="63">
        <f t="shared" si="25"/>
        <v>156.01845643749431</v>
      </c>
      <c r="AE27" s="63">
        <f t="shared" si="25"/>
        <v>160.69901013061911</v>
      </c>
      <c r="AF27" s="60">
        <f t="shared" si="6"/>
        <v>2462.5193478179217</v>
      </c>
    </row>
    <row r="28" spans="2:32">
      <c r="B28" s="21" t="s">
        <v>105</v>
      </c>
      <c r="C28" s="22"/>
      <c r="D28" s="23"/>
      <c r="F28" s="46" t="s">
        <v>43</v>
      </c>
      <c r="G28" s="52">
        <f>SUM(G26:G27)+C32</f>
        <v>2.1594965309090908</v>
      </c>
      <c r="H28" s="48"/>
      <c r="J28" s="34"/>
      <c r="K28" s="30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60">
        <f>SUM(L28:AE28)</f>
        <v>0</v>
      </c>
    </row>
    <row r="29" spans="2:32">
      <c r="B29" s="24" t="s">
        <v>22</v>
      </c>
      <c r="C29" s="25">
        <v>5.5E-2</v>
      </c>
      <c r="D29" s="26" t="s">
        <v>26</v>
      </c>
      <c r="F29" s="46" t="s">
        <v>46</v>
      </c>
      <c r="G29" s="52">
        <f>G20*C29</f>
        <v>5.355E-2</v>
      </c>
      <c r="H29" s="48"/>
      <c r="J29" s="34" t="s">
        <v>116</v>
      </c>
      <c r="K29" s="30"/>
      <c r="L29" s="39">
        <f>G6-L26-K52*C6</f>
        <v>159.51494999999977</v>
      </c>
      <c r="M29" s="56">
        <f t="shared" ref="M29:AE29" si="26">L29*(1+$L$23)</f>
        <v>164.30039849999977</v>
      </c>
      <c r="N29" s="56">
        <f t="shared" si="26"/>
        <v>169.22941045499977</v>
      </c>
      <c r="O29" s="56">
        <f t="shared" si="26"/>
        <v>174.30629276864977</v>
      </c>
      <c r="P29" s="56">
        <f t="shared" si="26"/>
        <v>179.53548155170927</v>
      </c>
      <c r="Q29" s="56">
        <f t="shared" si="26"/>
        <v>184.92154599826054</v>
      </c>
      <c r="R29" s="56">
        <f t="shared" si="26"/>
        <v>190.46919237820836</v>
      </c>
      <c r="S29" s="56">
        <f t="shared" si="26"/>
        <v>196.18326814955461</v>
      </c>
      <c r="T29" s="56">
        <f t="shared" si="26"/>
        <v>202.06876619404125</v>
      </c>
      <c r="U29" s="56">
        <f t="shared" si="26"/>
        <v>208.1308291798625</v>
      </c>
      <c r="V29" s="56">
        <f t="shared" si="26"/>
        <v>214.37475405525839</v>
      </c>
      <c r="W29" s="56">
        <f t="shared" si="26"/>
        <v>220.80599667691615</v>
      </c>
      <c r="X29" s="56">
        <f t="shared" si="26"/>
        <v>227.43017657722365</v>
      </c>
      <c r="Y29" s="56">
        <f t="shared" si="26"/>
        <v>234.25308187454036</v>
      </c>
      <c r="Z29" s="56">
        <f t="shared" si="26"/>
        <v>241.28067433077658</v>
      </c>
      <c r="AA29" s="56">
        <f t="shared" si="26"/>
        <v>248.51909456069987</v>
      </c>
      <c r="AB29" s="56">
        <f t="shared" si="26"/>
        <v>255.97466739752088</v>
      </c>
      <c r="AC29" s="56">
        <f t="shared" si="26"/>
        <v>263.65390741944651</v>
      </c>
      <c r="AD29" s="56">
        <f t="shared" si="26"/>
        <v>271.5635246420299</v>
      </c>
      <c r="AE29" s="56">
        <f t="shared" si="26"/>
        <v>279.71043038129079</v>
      </c>
      <c r="AF29" s="60">
        <f>SUM(L29:AE29)</f>
        <v>4286.2264430909891</v>
      </c>
    </row>
    <row r="30" spans="2:32">
      <c r="B30" s="24" t="s">
        <v>23</v>
      </c>
      <c r="C30" s="25">
        <v>0.21870999999999999</v>
      </c>
      <c r="D30" s="26" t="s">
        <v>26</v>
      </c>
      <c r="F30" s="46" t="s">
        <v>48</v>
      </c>
      <c r="G30" s="52">
        <f>G28-G29</f>
        <v>2.1059465309090908</v>
      </c>
      <c r="H30" s="48"/>
      <c r="J30" s="40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61">
        <f>SUM(L30:AE30)</f>
        <v>0</v>
      </c>
    </row>
    <row r="31" spans="2:32">
      <c r="B31" s="24" t="s">
        <v>24</v>
      </c>
      <c r="C31" s="25">
        <v>9.1389999999999999E-2</v>
      </c>
      <c r="D31" s="26" t="s">
        <v>26</v>
      </c>
      <c r="F31" s="46"/>
      <c r="G31" s="47"/>
      <c r="H31" s="48"/>
    </row>
    <row r="32" spans="2:32">
      <c r="B32" s="24" t="s">
        <v>27</v>
      </c>
      <c r="C32" s="25">
        <v>0.22339999999999999</v>
      </c>
      <c r="D32" s="26" t="s">
        <v>25</v>
      </c>
      <c r="F32" s="49" t="s">
        <v>72</v>
      </c>
      <c r="G32" s="47"/>
      <c r="H32" s="48"/>
      <c r="J32" s="66" t="s">
        <v>108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9"/>
    </row>
    <row r="33" spans="2:32">
      <c r="B33" s="24"/>
      <c r="C33" s="25"/>
      <c r="D33" s="26"/>
      <c r="F33" s="46" t="s">
        <v>34</v>
      </c>
      <c r="G33" s="47">
        <f>C9+G40</f>
        <v>6.5760000000000005</v>
      </c>
      <c r="H33" s="48" t="s">
        <v>4</v>
      </c>
      <c r="J33" s="107" t="s">
        <v>118</v>
      </c>
      <c r="K33" s="108">
        <f>11000-1000</f>
        <v>10000</v>
      </c>
      <c r="L33" s="67"/>
      <c r="M33" s="67"/>
      <c r="N33" s="68" t="s">
        <v>79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9"/>
    </row>
    <row r="34" spans="2:32">
      <c r="B34" s="27"/>
      <c r="C34" s="28"/>
      <c r="D34" s="29"/>
      <c r="F34" s="46" t="s">
        <v>44</v>
      </c>
      <c r="G34" s="51">
        <f>1-G16</f>
        <v>0.58000000000000007</v>
      </c>
      <c r="H34" s="48"/>
      <c r="J34" s="70" t="s">
        <v>80</v>
      </c>
      <c r="K34" s="71">
        <v>0.03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3"/>
    </row>
    <row r="35" spans="2:32">
      <c r="B35" s="98"/>
      <c r="C35" s="99"/>
      <c r="D35" s="99"/>
      <c r="F35" s="46" t="s">
        <v>30</v>
      </c>
      <c r="G35" s="47">
        <f>C25*G34/(365-C12)</f>
        <v>10.200000000000001</v>
      </c>
      <c r="H35" s="48" t="s">
        <v>4</v>
      </c>
      <c r="J35" s="70" t="s">
        <v>81</v>
      </c>
      <c r="K35" s="72">
        <v>20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</row>
    <row r="36" spans="2:32">
      <c r="B36" s="99"/>
      <c r="C36" s="97"/>
      <c r="D36" s="99"/>
      <c r="F36" s="46" t="s">
        <v>45</v>
      </c>
      <c r="G36" s="51">
        <v>0.2</v>
      </c>
      <c r="H36" s="48"/>
      <c r="J36" s="70" t="s">
        <v>82</v>
      </c>
      <c r="K36" s="74">
        <f>K45*K33</f>
        <v>70000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3"/>
    </row>
    <row r="37" spans="2:32">
      <c r="B37" s="99"/>
      <c r="C37" s="97"/>
      <c r="D37" s="99"/>
      <c r="F37" s="46" t="s">
        <v>58</v>
      </c>
      <c r="G37" s="50">
        <f>G36*G35</f>
        <v>2.0400000000000005</v>
      </c>
      <c r="H37" s="48" t="s">
        <v>4</v>
      </c>
      <c r="J37" s="70" t="s">
        <v>83</v>
      </c>
      <c r="K37" s="71">
        <v>0.03</v>
      </c>
      <c r="L37" s="72"/>
      <c r="M37" s="72"/>
      <c r="N37" s="75" t="s">
        <v>62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3"/>
    </row>
    <row r="38" spans="2:32">
      <c r="B38" s="99"/>
      <c r="C38" s="97"/>
      <c r="D38" s="99"/>
      <c r="F38" s="46" t="s">
        <v>33</v>
      </c>
      <c r="G38" s="50">
        <f>G35-G37-G40-G39</f>
        <v>3.7439999999999998</v>
      </c>
      <c r="H38" s="48" t="s">
        <v>4</v>
      </c>
      <c r="J38" s="70" t="s">
        <v>84</v>
      </c>
      <c r="K38" s="71">
        <v>0.03</v>
      </c>
      <c r="L38" s="75">
        <v>1</v>
      </c>
      <c r="M38" s="75">
        <v>2</v>
      </c>
      <c r="N38" s="75">
        <v>3</v>
      </c>
      <c r="O38" s="75">
        <v>4</v>
      </c>
      <c r="P38" s="75">
        <v>5</v>
      </c>
      <c r="Q38" s="75">
        <v>6</v>
      </c>
      <c r="R38" s="75">
        <v>7</v>
      </c>
      <c r="S38" s="75">
        <v>8</v>
      </c>
      <c r="T38" s="75">
        <v>9</v>
      </c>
      <c r="U38" s="75">
        <v>10</v>
      </c>
      <c r="V38" s="75">
        <v>11</v>
      </c>
      <c r="W38" s="75">
        <v>12</v>
      </c>
      <c r="X38" s="75">
        <v>13</v>
      </c>
      <c r="Y38" s="75">
        <v>14</v>
      </c>
      <c r="Z38" s="75">
        <v>15</v>
      </c>
      <c r="AA38" s="75">
        <v>16</v>
      </c>
      <c r="AB38" s="75">
        <v>17</v>
      </c>
      <c r="AC38" s="75">
        <v>18</v>
      </c>
      <c r="AD38" s="75">
        <v>19</v>
      </c>
      <c r="AE38" s="75">
        <v>20</v>
      </c>
      <c r="AF38" s="76" t="s">
        <v>85</v>
      </c>
    </row>
    <row r="39" spans="2:32">
      <c r="F39" s="46" t="s">
        <v>36</v>
      </c>
      <c r="G39" s="47">
        <f>C15*C16</f>
        <v>3.84</v>
      </c>
      <c r="H39" s="48" t="s">
        <v>4</v>
      </c>
      <c r="J39" s="70" t="s">
        <v>86</v>
      </c>
      <c r="K39" s="72"/>
      <c r="L39" s="77">
        <f>PPMT($K$34,L38,$K$35,$K$36)*-1</f>
        <v>2605.0995317801417</v>
      </c>
      <c r="M39" s="77">
        <f>PPMT($K$34,M38,$K$35,$K$36)*-1</f>
        <v>2683.252517733546</v>
      </c>
      <c r="N39" s="77">
        <f t="shared" ref="N39:AE39" si="27">PPMT($K$34,N38,$K$35,$K$36)*-1</f>
        <v>2763.7500932655521</v>
      </c>
      <c r="O39" s="77">
        <f t="shared" si="27"/>
        <v>2846.6625960635192</v>
      </c>
      <c r="P39" s="77">
        <f t="shared" si="27"/>
        <v>2932.0624739454242</v>
      </c>
      <c r="Q39" s="77">
        <f t="shared" si="27"/>
        <v>3020.0243481637872</v>
      </c>
      <c r="R39" s="77">
        <f t="shared" si="27"/>
        <v>3110.6250786087003</v>
      </c>
      <c r="S39" s="77">
        <f t="shared" si="27"/>
        <v>3203.9438309669617</v>
      </c>
      <c r="T39" s="77">
        <f t="shared" si="27"/>
        <v>3300.0621458959704</v>
      </c>
      <c r="U39" s="77">
        <f t="shared" si="27"/>
        <v>3399.0640102728494</v>
      </c>
      <c r="V39" s="77">
        <f t="shared" si="27"/>
        <v>3501.0359305810352</v>
      </c>
      <c r="W39" s="77">
        <f t="shared" si="27"/>
        <v>3606.0670084984663</v>
      </c>
      <c r="X39" s="77">
        <f t="shared" si="27"/>
        <v>3714.2490187534195</v>
      </c>
      <c r="Y39" s="77">
        <f t="shared" si="27"/>
        <v>3825.6764893160216</v>
      </c>
      <c r="Z39" s="77">
        <f t="shared" si="27"/>
        <v>3940.4467839955032</v>
      </c>
      <c r="AA39" s="77">
        <f t="shared" si="27"/>
        <v>4058.6601875153683</v>
      </c>
      <c r="AB39" s="77">
        <f t="shared" si="27"/>
        <v>4180.4199931408284</v>
      </c>
      <c r="AC39" s="77">
        <f t="shared" si="27"/>
        <v>4305.832592935054</v>
      </c>
      <c r="AD39" s="77">
        <f t="shared" si="27"/>
        <v>4435.0075707231053</v>
      </c>
      <c r="AE39" s="77">
        <f t="shared" si="27"/>
        <v>4568.0577978447982</v>
      </c>
      <c r="AF39" s="78">
        <f>SUM(L39:AE39)</f>
        <v>70000.000000000058</v>
      </c>
    </row>
    <row r="40" spans="2:32">
      <c r="F40" s="46" t="s">
        <v>37</v>
      </c>
      <c r="G40" s="47">
        <f>G39*(1-C17)</f>
        <v>0.57600000000000007</v>
      </c>
      <c r="H40" s="48" t="s">
        <v>4</v>
      </c>
      <c r="J40" s="70" t="s">
        <v>87</v>
      </c>
      <c r="K40" s="72"/>
      <c r="L40" s="79">
        <f>$K$36*$K$34</f>
        <v>2100</v>
      </c>
      <c r="M40" s="79">
        <f>($K$36-L39)*$K$34</f>
        <v>2021.8470140465956</v>
      </c>
      <c r="N40" s="79">
        <f>($K$36-SUM($L$39:M39))*$K$34</f>
        <v>1941.3494385145891</v>
      </c>
      <c r="O40" s="79">
        <f>($K$36-SUM($L$39:N39))*$K$34</f>
        <v>1858.4369357166229</v>
      </c>
      <c r="P40" s="79">
        <f>($K$36-SUM($L$39:O39))*$K$34</f>
        <v>1773.0370578347172</v>
      </c>
      <c r="Q40" s="79">
        <f>($K$36-SUM($L$39:P39))*$K$34</f>
        <v>1685.0751836163545</v>
      </c>
      <c r="R40" s="79">
        <f>($K$36-SUM($L$39:Q39))*$K$34</f>
        <v>1594.4744531714409</v>
      </c>
      <c r="S40" s="79">
        <f>($K$36-SUM($L$39:R39))*$K$34</f>
        <v>1501.1557008131799</v>
      </c>
      <c r="T40" s="79">
        <f>($K$36-SUM($L$39:S39))*$K$34</f>
        <v>1405.0373858841708</v>
      </c>
      <c r="U40" s="79">
        <f>($K$36-SUM($L$39:T39))*$K$34</f>
        <v>1306.0355215072921</v>
      </c>
      <c r="V40" s="79">
        <f>($K$36-SUM($L$39:U39))*$K$34</f>
        <v>1204.0636011991064</v>
      </c>
      <c r="W40" s="79">
        <f>($K$36-SUM($L$39:V39))*$K$34</f>
        <v>1099.0325232816754</v>
      </c>
      <c r="X40" s="79">
        <f>($K$36-SUM($L$39:W39))*$K$34</f>
        <v>990.85051302672139</v>
      </c>
      <c r="Y40" s="79">
        <f>($K$36-SUM($L$39:X39))*$K$34</f>
        <v>879.42304246411879</v>
      </c>
      <c r="Z40" s="79">
        <f>($K$36-SUM($L$39:Y39))*$K$34</f>
        <v>764.65274778463822</v>
      </c>
      <c r="AA40" s="79">
        <f>($K$36-SUM($L$39:Z39))*$K$34</f>
        <v>646.43934426477313</v>
      </c>
      <c r="AB40" s="79">
        <f>($K$36-SUM($L$39:AA39))*$K$34</f>
        <v>524.67953863931189</v>
      </c>
      <c r="AC40" s="79">
        <f>($K$36-SUM($L$39:AB39))*$K$34</f>
        <v>399.26693884508705</v>
      </c>
      <c r="AD40" s="79">
        <f>($K$36-SUM($L$39:AC39))*$K$34</f>
        <v>270.09196105703541</v>
      </c>
      <c r="AE40" s="79">
        <f>($K$36-SUM($L$39:AD39))*$K$34</f>
        <v>137.04173393534219</v>
      </c>
      <c r="AF40" s="78">
        <f t="shared" ref="AF40:AF43" si="28">SUM(L40:AE40)</f>
        <v>24101.990635602775</v>
      </c>
    </row>
    <row r="41" spans="2:32">
      <c r="F41" s="46" t="s">
        <v>38</v>
      </c>
      <c r="G41" s="47">
        <f>0.1*C9</f>
        <v>0.60000000000000009</v>
      </c>
      <c r="H41" s="48" t="s">
        <v>4</v>
      </c>
      <c r="J41" s="70" t="s">
        <v>88</v>
      </c>
      <c r="K41" s="71"/>
      <c r="L41" s="74">
        <f>K38*K36</f>
        <v>2100</v>
      </c>
      <c r="M41" s="74">
        <f>L41*(1+$K$37)</f>
        <v>2163</v>
      </c>
      <c r="N41" s="74">
        <f t="shared" ref="N41:AE41" si="29">M41*(1+$K$37)</f>
        <v>2227.89</v>
      </c>
      <c r="O41" s="74">
        <f t="shared" si="29"/>
        <v>2294.7266999999997</v>
      </c>
      <c r="P41" s="74">
        <f t="shared" si="29"/>
        <v>2363.5685009999997</v>
      </c>
      <c r="Q41" s="74">
        <f t="shared" si="29"/>
        <v>2434.47555603</v>
      </c>
      <c r="R41" s="74">
        <f t="shared" si="29"/>
        <v>2507.5098227109002</v>
      </c>
      <c r="S41" s="74">
        <f t="shared" si="29"/>
        <v>2582.735117392227</v>
      </c>
      <c r="T41" s="74">
        <f t="shared" si="29"/>
        <v>2660.2171709139939</v>
      </c>
      <c r="U41" s="74">
        <f t="shared" si="29"/>
        <v>2740.0236860414138</v>
      </c>
      <c r="V41" s="74">
        <f t="shared" si="29"/>
        <v>2822.2243966226565</v>
      </c>
      <c r="W41" s="74">
        <f t="shared" si="29"/>
        <v>2906.8911285213362</v>
      </c>
      <c r="X41" s="74">
        <f t="shared" si="29"/>
        <v>2994.0978623769765</v>
      </c>
      <c r="Y41" s="74">
        <f t="shared" si="29"/>
        <v>3083.9207982482858</v>
      </c>
      <c r="Z41" s="74">
        <f t="shared" si="29"/>
        <v>3176.4384221957343</v>
      </c>
      <c r="AA41" s="74">
        <f t="shared" si="29"/>
        <v>3271.7315748616065</v>
      </c>
      <c r="AB41" s="74">
        <f t="shared" si="29"/>
        <v>3369.8835221074546</v>
      </c>
      <c r="AC41" s="74">
        <f t="shared" si="29"/>
        <v>3470.9800277706781</v>
      </c>
      <c r="AD41" s="74">
        <f t="shared" si="29"/>
        <v>3575.1094286037987</v>
      </c>
      <c r="AE41" s="74">
        <f t="shared" si="29"/>
        <v>3682.3627114619126</v>
      </c>
      <c r="AF41" s="78">
        <f t="shared" si="28"/>
        <v>56427.786426858976</v>
      </c>
    </row>
    <row r="42" spans="2:32">
      <c r="F42" s="46" t="s">
        <v>40</v>
      </c>
      <c r="G42" s="50">
        <f>G33-(G37+G41+G39)</f>
        <v>9.6000000000000085E-2</v>
      </c>
      <c r="H42" s="48" t="s">
        <v>4</v>
      </c>
      <c r="J42" s="70"/>
      <c r="K42" s="71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8"/>
    </row>
    <row r="43" spans="2:32">
      <c r="F43" s="46" t="s">
        <v>41</v>
      </c>
      <c r="G43" s="52">
        <f>G41*C31</f>
        <v>5.4834000000000008E-2</v>
      </c>
      <c r="H43" s="48"/>
      <c r="J43" s="80" t="s">
        <v>110</v>
      </c>
      <c r="K43" s="81"/>
      <c r="L43" s="82">
        <f>SUM(L39:L41)</f>
        <v>6805.0995317801417</v>
      </c>
      <c r="M43" s="82">
        <f t="shared" ref="M43:AE43" si="30">SUM(M39:M41)</f>
        <v>6868.0995317801417</v>
      </c>
      <c r="N43" s="82">
        <f t="shared" si="30"/>
        <v>6932.9895317801402</v>
      </c>
      <c r="O43" s="82">
        <f t="shared" si="30"/>
        <v>6999.8262317801418</v>
      </c>
      <c r="P43" s="82">
        <f t="shared" si="30"/>
        <v>7068.6680327801414</v>
      </c>
      <c r="Q43" s="82">
        <f t="shared" si="30"/>
        <v>7139.5750878101417</v>
      </c>
      <c r="R43" s="82">
        <f t="shared" si="30"/>
        <v>7212.6093544910409</v>
      </c>
      <c r="S43" s="82">
        <f t="shared" si="30"/>
        <v>7287.8346491723687</v>
      </c>
      <c r="T43" s="82">
        <f t="shared" si="30"/>
        <v>7365.3167026941346</v>
      </c>
      <c r="U43" s="82">
        <f t="shared" si="30"/>
        <v>7445.123217821556</v>
      </c>
      <c r="V43" s="82">
        <f t="shared" si="30"/>
        <v>7527.3239284027986</v>
      </c>
      <c r="W43" s="82">
        <f t="shared" si="30"/>
        <v>7611.9906603014779</v>
      </c>
      <c r="X43" s="82">
        <f t="shared" si="30"/>
        <v>7699.1973941571177</v>
      </c>
      <c r="Y43" s="82">
        <f t="shared" si="30"/>
        <v>7789.0203300284265</v>
      </c>
      <c r="Z43" s="82">
        <f t="shared" si="30"/>
        <v>7881.537953975876</v>
      </c>
      <c r="AA43" s="82">
        <f t="shared" si="30"/>
        <v>7976.8311066417482</v>
      </c>
      <c r="AB43" s="82">
        <f t="shared" si="30"/>
        <v>8074.9830538875958</v>
      </c>
      <c r="AC43" s="82">
        <f t="shared" si="30"/>
        <v>8176.0795595508189</v>
      </c>
      <c r="AD43" s="82">
        <f t="shared" si="30"/>
        <v>8280.2089603839395</v>
      </c>
      <c r="AE43" s="82">
        <f t="shared" si="30"/>
        <v>8387.4622432420529</v>
      </c>
      <c r="AF43" s="83">
        <f t="shared" si="28"/>
        <v>150529.7770624618</v>
      </c>
    </row>
    <row r="44" spans="2:32">
      <c r="F44" s="46" t="s">
        <v>42</v>
      </c>
      <c r="G44" s="52">
        <f>G42*C30+C32</f>
        <v>0.24439616</v>
      </c>
      <c r="H44" s="48"/>
      <c r="J44" s="70"/>
      <c r="K44" s="72"/>
      <c r="L44" s="77"/>
      <c r="M44" s="77"/>
      <c r="N44" s="77"/>
      <c r="O44" s="77"/>
      <c r="P44" s="77"/>
      <c r="Q44" s="77"/>
      <c r="R44" s="77"/>
      <c r="S44" s="77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3"/>
    </row>
    <row r="45" spans="2:32">
      <c r="F45" s="46" t="s">
        <v>43</v>
      </c>
      <c r="G45" s="52">
        <f>SUM(G43:G44)</f>
        <v>0.29923016000000002</v>
      </c>
      <c r="H45" s="48"/>
      <c r="J45" s="84" t="s">
        <v>102</v>
      </c>
      <c r="K45" s="67">
        <v>7</v>
      </c>
      <c r="L45" s="85"/>
      <c r="M45" s="85"/>
      <c r="N45" s="86" t="s">
        <v>89</v>
      </c>
      <c r="O45" s="85"/>
      <c r="P45" s="85"/>
      <c r="Q45" s="85"/>
      <c r="R45" s="85"/>
      <c r="S45" s="85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9"/>
    </row>
    <row r="46" spans="2:32">
      <c r="F46" s="46" t="s">
        <v>46</v>
      </c>
      <c r="G46" s="52">
        <f>G38*C29</f>
        <v>0.20591999999999999</v>
      </c>
      <c r="H46" s="48"/>
      <c r="J46" s="70" t="s">
        <v>90</v>
      </c>
      <c r="K46" s="87">
        <f>K45*C6</f>
        <v>42</v>
      </c>
      <c r="L46" s="77" t="s">
        <v>91</v>
      </c>
      <c r="M46" s="77"/>
      <c r="N46" s="72"/>
      <c r="O46" s="77"/>
      <c r="P46" s="77"/>
      <c r="Q46" s="77"/>
      <c r="R46" s="77"/>
      <c r="S46" s="77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3"/>
    </row>
    <row r="47" spans="2:32">
      <c r="F47" s="46" t="s">
        <v>48</v>
      </c>
      <c r="G47" s="52">
        <f>G45-G46</f>
        <v>9.3310160000000031E-2</v>
      </c>
      <c r="H47" s="48"/>
      <c r="J47" s="70" t="s">
        <v>92</v>
      </c>
      <c r="K47" s="88">
        <f>K45*C4</f>
        <v>42000</v>
      </c>
      <c r="L47" s="77" t="s">
        <v>9</v>
      </c>
      <c r="M47" s="77"/>
      <c r="N47" s="77"/>
      <c r="O47" s="77"/>
      <c r="P47" s="77"/>
      <c r="Q47" s="77"/>
      <c r="R47" s="77"/>
      <c r="S47" s="77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3"/>
    </row>
    <row r="48" spans="2:32">
      <c r="F48" s="46"/>
      <c r="G48" s="47"/>
      <c r="H48" s="48"/>
      <c r="J48" s="70" t="s">
        <v>93</v>
      </c>
      <c r="K48" s="77">
        <v>9.5600000000000004E-2</v>
      </c>
      <c r="L48" s="77" t="s">
        <v>26</v>
      </c>
      <c r="M48" s="77"/>
      <c r="N48" s="77"/>
      <c r="O48" s="77"/>
      <c r="P48" s="77"/>
      <c r="Q48" s="77"/>
      <c r="R48" s="77"/>
      <c r="S48" s="77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3"/>
    </row>
    <row r="49" spans="6:32">
      <c r="F49" s="46" t="s">
        <v>56</v>
      </c>
      <c r="G49" s="47">
        <f>G19*C12+(365-C12)*(G37+G39+G40)</f>
        <v>1792.92</v>
      </c>
      <c r="H49" s="48"/>
      <c r="J49" s="70" t="s">
        <v>94</v>
      </c>
      <c r="K49" s="77">
        <v>2.8500000000000001E-2</v>
      </c>
      <c r="L49" s="77" t="s">
        <v>26</v>
      </c>
      <c r="M49" s="77"/>
      <c r="N49" s="77"/>
      <c r="O49" s="77"/>
      <c r="P49" s="77"/>
      <c r="Q49" s="77"/>
      <c r="R49" s="77"/>
      <c r="S49" s="77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3"/>
    </row>
    <row r="50" spans="6:32">
      <c r="F50" s="53" t="s">
        <v>57</v>
      </c>
      <c r="G50" s="54">
        <f>G49/C25</f>
        <v>0.70310588235294125</v>
      </c>
      <c r="H50" s="55"/>
      <c r="J50" s="70" t="s">
        <v>95</v>
      </c>
      <c r="K50" s="88">
        <v>1314</v>
      </c>
      <c r="L50" s="77" t="s">
        <v>96</v>
      </c>
      <c r="M50" s="77"/>
      <c r="N50" s="77"/>
      <c r="O50" s="77"/>
      <c r="P50" s="77"/>
      <c r="Q50" s="77"/>
      <c r="R50" s="77"/>
      <c r="S50" s="77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3"/>
    </row>
    <row r="51" spans="6:32">
      <c r="J51" s="70" t="s">
        <v>97</v>
      </c>
      <c r="K51" s="71">
        <v>0.03</v>
      </c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3"/>
    </row>
    <row r="52" spans="6:32">
      <c r="J52" s="70" t="s">
        <v>98</v>
      </c>
      <c r="K52" s="74">
        <v>80</v>
      </c>
      <c r="L52" s="77" t="s">
        <v>99</v>
      </c>
      <c r="M52" s="72"/>
      <c r="N52" s="75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3"/>
    </row>
    <row r="53" spans="6:32">
      <c r="J53" s="70"/>
      <c r="K53" s="71"/>
      <c r="L53" s="72"/>
      <c r="M53" s="72"/>
      <c r="N53" s="75" t="s">
        <v>62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3"/>
    </row>
    <row r="54" spans="6:32">
      <c r="J54" s="70"/>
      <c r="K54" s="72"/>
      <c r="L54" s="75">
        <v>1</v>
      </c>
      <c r="M54" s="75">
        <v>2</v>
      </c>
      <c r="N54" s="75">
        <v>3</v>
      </c>
      <c r="O54" s="75">
        <v>4</v>
      </c>
      <c r="P54" s="75">
        <v>5</v>
      </c>
      <c r="Q54" s="75">
        <v>6</v>
      </c>
      <c r="R54" s="75">
        <v>7</v>
      </c>
      <c r="S54" s="75">
        <v>8</v>
      </c>
      <c r="T54" s="75">
        <v>9</v>
      </c>
      <c r="U54" s="75">
        <v>10</v>
      </c>
      <c r="V54" s="75">
        <v>11</v>
      </c>
      <c r="W54" s="75">
        <v>12</v>
      </c>
      <c r="X54" s="75">
        <v>13</v>
      </c>
      <c r="Y54" s="75">
        <v>14</v>
      </c>
      <c r="Z54" s="75">
        <v>15</v>
      </c>
      <c r="AA54" s="75">
        <v>16</v>
      </c>
      <c r="AB54" s="75">
        <v>17</v>
      </c>
      <c r="AC54" s="75">
        <v>18</v>
      </c>
      <c r="AD54" s="75">
        <v>19</v>
      </c>
      <c r="AE54" s="75">
        <v>20</v>
      </c>
      <c r="AF54" s="76" t="s">
        <v>85</v>
      </c>
    </row>
    <row r="55" spans="6:32">
      <c r="J55" s="70" t="s">
        <v>100</v>
      </c>
      <c r="K55" s="72"/>
      <c r="L55" s="77">
        <f>($K$46*$K$50*$K$48)+(($K$47-($K$46*$K$50))*$K$49)</f>
        <v>4900.1148000000003</v>
      </c>
      <c r="M55" s="77">
        <f>L55*(1+$K$51)</f>
        <v>5047.1182440000002</v>
      </c>
      <c r="N55" s="77">
        <f t="shared" ref="N55:AE56" si="31">M55*(1+$K$51)</f>
        <v>5198.5317913200006</v>
      </c>
      <c r="O55" s="77">
        <f t="shared" si="31"/>
        <v>5354.4877450596005</v>
      </c>
      <c r="P55" s="77">
        <f t="shared" si="31"/>
        <v>5515.1223774113887</v>
      </c>
      <c r="Q55" s="77">
        <f t="shared" si="31"/>
        <v>5680.5760487337302</v>
      </c>
      <c r="R55" s="77">
        <f t="shared" si="31"/>
        <v>5850.9933301957426</v>
      </c>
      <c r="S55" s="77">
        <f t="shared" si="31"/>
        <v>6026.5231301016147</v>
      </c>
      <c r="T55" s="77">
        <f t="shared" si="31"/>
        <v>6207.3188240046629</v>
      </c>
      <c r="U55" s="77">
        <f t="shared" si="31"/>
        <v>6393.5383887248026</v>
      </c>
      <c r="V55" s="77">
        <f t="shared" si="31"/>
        <v>6585.3445403865471</v>
      </c>
      <c r="W55" s="77">
        <f t="shared" si="31"/>
        <v>6782.9048765981433</v>
      </c>
      <c r="X55" s="77">
        <f t="shared" si="31"/>
        <v>6986.3920228960878</v>
      </c>
      <c r="Y55" s="77">
        <f t="shared" si="31"/>
        <v>7195.9837835829703</v>
      </c>
      <c r="Z55" s="77">
        <f t="shared" si="31"/>
        <v>7411.86329709046</v>
      </c>
      <c r="AA55" s="77">
        <f t="shared" si="31"/>
        <v>7634.2191960031741</v>
      </c>
      <c r="AB55" s="77">
        <f t="shared" si="31"/>
        <v>7863.2457718832693</v>
      </c>
      <c r="AC55" s="77">
        <f t="shared" si="31"/>
        <v>8099.1431450397677</v>
      </c>
      <c r="AD55" s="77">
        <f t="shared" si="31"/>
        <v>8342.1174393909605</v>
      </c>
      <c r="AE55" s="77">
        <f t="shared" si="31"/>
        <v>8592.3809625726899</v>
      </c>
      <c r="AF55" s="78">
        <f>SUM(L55:AE55)</f>
        <v>131667.91971499563</v>
      </c>
    </row>
    <row r="56" spans="6:32">
      <c r="J56" s="70" t="s">
        <v>101</v>
      </c>
      <c r="K56" s="71"/>
      <c r="L56" s="77">
        <f>K52*K46</f>
        <v>3360</v>
      </c>
      <c r="M56" s="77">
        <f>L56*(1+$K$51)</f>
        <v>3460.8</v>
      </c>
      <c r="N56" s="77">
        <f t="shared" si="31"/>
        <v>3564.6240000000003</v>
      </c>
      <c r="O56" s="77">
        <f t="shared" si="31"/>
        <v>3671.5627200000004</v>
      </c>
      <c r="P56" s="77">
        <f t="shared" si="31"/>
        <v>3781.7096016000005</v>
      </c>
      <c r="Q56" s="77">
        <f t="shared" si="31"/>
        <v>3895.1608896480006</v>
      </c>
      <c r="R56" s="77">
        <f t="shared" si="31"/>
        <v>4012.0157163374406</v>
      </c>
      <c r="S56" s="77">
        <f t="shared" si="31"/>
        <v>4132.3761878275636</v>
      </c>
      <c r="T56" s="77">
        <f t="shared" si="31"/>
        <v>4256.3474734623906</v>
      </c>
      <c r="U56" s="77">
        <f t="shared" si="31"/>
        <v>4384.0378976662623</v>
      </c>
      <c r="V56" s="77">
        <f t="shared" si="31"/>
        <v>4515.5590345962501</v>
      </c>
      <c r="W56" s="77">
        <f t="shared" si="31"/>
        <v>4651.0258056341381</v>
      </c>
      <c r="X56" s="77">
        <f t="shared" si="31"/>
        <v>4790.5565798031621</v>
      </c>
      <c r="Y56" s="77">
        <f t="shared" si="31"/>
        <v>4934.2732771972569</v>
      </c>
      <c r="Z56" s="77">
        <f t="shared" si="31"/>
        <v>5082.3014755131744</v>
      </c>
      <c r="AA56" s="77">
        <f t="shared" si="31"/>
        <v>5234.7705197785699</v>
      </c>
      <c r="AB56" s="77">
        <f t="shared" si="31"/>
        <v>5391.8136353719274</v>
      </c>
      <c r="AC56" s="77">
        <f t="shared" si="31"/>
        <v>5553.5680444330856</v>
      </c>
      <c r="AD56" s="77">
        <f t="shared" si="31"/>
        <v>5720.1750857660782</v>
      </c>
      <c r="AE56" s="77">
        <f t="shared" si="31"/>
        <v>5891.780338339061</v>
      </c>
      <c r="AF56" s="78">
        <f t="shared" ref="AF56:AF58" si="32">SUM(L56:AE56)</f>
        <v>90284.458282974359</v>
      </c>
    </row>
    <row r="57" spans="6:32">
      <c r="J57" s="70"/>
      <c r="K57" s="72"/>
      <c r="L57" s="77"/>
      <c r="M57" s="77"/>
      <c r="N57" s="77"/>
      <c r="O57" s="77"/>
      <c r="P57" s="77"/>
      <c r="Q57" s="77"/>
      <c r="R57" s="77"/>
      <c r="S57" s="77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8"/>
    </row>
    <row r="58" spans="6:32">
      <c r="J58" s="80" t="s">
        <v>111</v>
      </c>
      <c r="K58" s="81"/>
      <c r="L58" s="82">
        <f>L55+L56</f>
        <v>8260.1147999999994</v>
      </c>
      <c r="M58" s="82">
        <f t="shared" ref="M58:AE58" si="33">M55+M56</f>
        <v>8507.9182440000004</v>
      </c>
      <c r="N58" s="82">
        <f t="shared" si="33"/>
        <v>8763.1557913200013</v>
      </c>
      <c r="O58" s="82">
        <f t="shared" si="33"/>
        <v>9026.0504650596013</v>
      </c>
      <c r="P58" s="82">
        <f t="shared" si="33"/>
        <v>9296.8319790113892</v>
      </c>
      <c r="Q58" s="82">
        <f t="shared" si="33"/>
        <v>9575.7369383817313</v>
      </c>
      <c r="R58" s="82">
        <f t="shared" si="33"/>
        <v>9863.0090465331832</v>
      </c>
      <c r="S58" s="82">
        <f t="shared" si="33"/>
        <v>10158.899317929179</v>
      </c>
      <c r="T58" s="82">
        <f t="shared" si="33"/>
        <v>10463.666297467054</v>
      </c>
      <c r="U58" s="82">
        <f t="shared" si="33"/>
        <v>10777.576286391064</v>
      </c>
      <c r="V58" s="82">
        <f t="shared" si="33"/>
        <v>11100.903574982796</v>
      </c>
      <c r="W58" s="82">
        <f t="shared" si="33"/>
        <v>11433.930682232281</v>
      </c>
      <c r="X58" s="82">
        <f t="shared" si="33"/>
        <v>11776.948602699249</v>
      </c>
      <c r="Y58" s="82">
        <f t="shared" si="33"/>
        <v>12130.257060780226</v>
      </c>
      <c r="Z58" s="82">
        <f t="shared" si="33"/>
        <v>12494.164772603635</v>
      </c>
      <c r="AA58" s="82">
        <f t="shared" si="33"/>
        <v>12868.989715781743</v>
      </c>
      <c r="AB58" s="82">
        <f t="shared" si="33"/>
        <v>13255.059407255198</v>
      </c>
      <c r="AC58" s="82">
        <f t="shared" si="33"/>
        <v>13652.711189472853</v>
      </c>
      <c r="AD58" s="82">
        <f t="shared" si="33"/>
        <v>14062.292525157038</v>
      </c>
      <c r="AE58" s="82">
        <f t="shared" si="33"/>
        <v>14484.16130091175</v>
      </c>
      <c r="AF58" s="83">
        <f t="shared" si="32"/>
        <v>221952.37799796998</v>
      </c>
    </row>
    <row r="60" spans="6:32">
      <c r="J60" s="89" t="s">
        <v>114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1"/>
    </row>
    <row r="61" spans="6:32">
      <c r="J61" s="92"/>
      <c r="K61" s="102"/>
      <c r="L61" s="102"/>
      <c r="M61" s="102"/>
      <c r="N61" s="101" t="s">
        <v>62</v>
      </c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94"/>
    </row>
    <row r="62" spans="6:32">
      <c r="J62" s="92" t="s">
        <v>120</v>
      </c>
      <c r="K62" s="109">
        <f>K36+(K16*7)+(K6*7)</f>
        <v>105000</v>
      </c>
      <c r="L62" s="101">
        <v>1</v>
      </c>
      <c r="M62" s="101">
        <v>2</v>
      </c>
      <c r="N62" s="101">
        <v>3</v>
      </c>
      <c r="O62" s="101">
        <v>4</v>
      </c>
      <c r="P62" s="101">
        <v>5</v>
      </c>
      <c r="Q62" s="101">
        <v>6</v>
      </c>
      <c r="R62" s="101">
        <v>7</v>
      </c>
      <c r="S62" s="101">
        <v>8</v>
      </c>
      <c r="T62" s="101">
        <v>9</v>
      </c>
      <c r="U62" s="101">
        <v>10</v>
      </c>
      <c r="V62" s="101">
        <v>11</v>
      </c>
      <c r="W62" s="101">
        <v>12</v>
      </c>
      <c r="X62" s="101">
        <v>13</v>
      </c>
      <c r="Y62" s="101">
        <v>14</v>
      </c>
      <c r="Z62" s="101">
        <v>15</v>
      </c>
      <c r="AA62" s="101">
        <v>16</v>
      </c>
      <c r="AB62" s="101">
        <v>17</v>
      </c>
      <c r="AC62" s="101">
        <v>18</v>
      </c>
      <c r="AD62" s="101">
        <v>19</v>
      </c>
      <c r="AE62" s="101">
        <v>20</v>
      </c>
      <c r="AF62" s="103" t="s">
        <v>85</v>
      </c>
    </row>
    <row r="63" spans="6:32">
      <c r="J63" s="92" t="s">
        <v>112</v>
      </c>
      <c r="K63" s="102"/>
      <c r="L63" s="93">
        <f>L43+L24*$K$45</f>
        <v>9857.8564837864178</v>
      </c>
      <c r="M63" s="93">
        <f t="shared" ref="M63:AE63" si="34">M43+M24*$K$45</f>
        <v>9920.8564837864178</v>
      </c>
      <c r="N63" s="93">
        <f t="shared" si="34"/>
        <v>9985.7464837864172</v>
      </c>
      <c r="O63" s="93">
        <f t="shared" si="34"/>
        <v>10052.583183786419</v>
      </c>
      <c r="P63" s="93">
        <f t="shared" si="34"/>
        <v>10121.424984786419</v>
      </c>
      <c r="Q63" s="93">
        <f t="shared" si="34"/>
        <v>10192.332039816418</v>
      </c>
      <c r="R63" s="93">
        <f t="shared" si="34"/>
        <v>10265.366306497319</v>
      </c>
      <c r="S63" s="93">
        <f t="shared" si="34"/>
        <v>10340.591601178647</v>
      </c>
      <c r="T63" s="93">
        <f t="shared" si="34"/>
        <v>10418.073654700413</v>
      </c>
      <c r="U63" s="93">
        <f t="shared" si="34"/>
        <v>10497.880169827833</v>
      </c>
      <c r="V63" s="93">
        <f t="shared" si="34"/>
        <v>9759.4673341729576</v>
      </c>
      <c r="W63" s="93">
        <f t="shared" si="34"/>
        <v>9844.1340660716378</v>
      </c>
      <c r="X63" s="93">
        <f t="shared" si="34"/>
        <v>9931.3407999272767</v>
      </c>
      <c r="Y63" s="93">
        <f t="shared" si="34"/>
        <v>10021.163735798586</v>
      </c>
      <c r="Z63" s="93">
        <f t="shared" si="34"/>
        <v>10113.681359746035</v>
      </c>
      <c r="AA63" s="93">
        <f t="shared" si="34"/>
        <v>10208.974512411907</v>
      </c>
      <c r="AB63" s="93">
        <f t="shared" si="34"/>
        <v>10307.126459657755</v>
      </c>
      <c r="AC63" s="93">
        <f t="shared" si="34"/>
        <v>10408.222965320978</v>
      </c>
      <c r="AD63" s="93">
        <f t="shared" si="34"/>
        <v>10512.352366154098</v>
      </c>
      <c r="AE63" s="93">
        <f t="shared" si="34"/>
        <v>10619.605649012212</v>
      </c>
      <c r="AF63" s="105">
        <f>SUM(L63:AE63)</f>
        <v>203378.78064022621</v>
      </c>
    </row>
    <row r="64" spans="6:32">
      <c r="J64" s="92" t="s">
        <v>113</v>
      </c>
      <c r="K64" s="102"/>
      <c r="L64" s="93">
        <f>L58+L27*$K$45</f>
        <v>8901.6255999999994</v>
      </c>
      <c r="M64" s="93">
        <f t="shared" ref="M64:AE64" si="35">M58+M27*$K$45</f>
        <v>9168.674368</v>
      </c>
      <c r="N64" s="93">
        <f t="shared" si="35"/>
        <v>9443.7345990400008</v>
      </c>
      <c r="O64" s="93">
        <f t="shared" si="35"/>
        <v>9727.0466370112008</v>
      </c>
      <c r="P64" s="93">
        <f t="shared" si="35"/>
        <v>10018.858036121537</v>
      </c>
      <c r="Q64" s="93">
        <f t="shared" si="35"/>
        <v>10319.423777205184</v>
      </c>
      <c r="R64" s="93">
        <f t="shared" si="35"/>
        <v>10629.00649052134</v>
      </c>
      <c r="S64" s="93">
        <f t="shared" si="35"/>
        <v>10947.876685236981</v>
      </c>
      <c r="T64" s="93">
        <f t="shared" si="35"/>
        <v>11276.312985794089</v>
      </c>
      <c r="U64" s="93">
        <f t="shared" si="35"/>
        <v>11614.602375367911</v>
      </c>
      <c r="V64" s="93">
        <f t="shared" si="35"/>
        <v>11963.040446628947</v>
      </c>
      <c r="W64" s="93">
        <f t="shared" si="35"/>
        <v>12321.931660027818</v>
      </c>
      <c r="X64" s="93">
        <f t="shared" si="35"/>
        <v>12691.58960982865</v>
      </c>
      <c r="Y64" s="93">
        <f t="shared" si="35"/>
        <v>13072.33729812351</v>
      </c>
      <c r="Z64" s="93">
        <f t="shared" si="35"/>
        <v>13464.507417067218</v>
      </c>
      <c r="AA64" s="93">
        <f t="shared" si="35"/>
        <v>13868.442639579232</v>
      </c>
      <c r="AB64" s="93">
        <f t="shared" si="35"/>
        <v>14284.495918766612</v>
      </c>
      <c r="AC64" s="93">
        <f t="shared" si="35"/>
        <v>14713.030796329611</v>
      </c>
      <c r="AD64" s="93">
        <f t="shared" si="35"/>
        <v>15154.421720219498</v>
      </c>
      <c r="AE64" s="93">
        <f t="shared" si="35"/>
        <v>15609.054371826083</v>
      </c>
      <c r="AF64" s="105">
        <f>SUM(L64:AE64)</f>
        <v>239190.01343269544</v>
      </c>
    </row>
    <row r="65" spans="10:32">
      <c r="J65" s="95" t="s">
        <v>115</v>
      </c>
      <c r="K65" s="104"/>
      <c r="L65" s="96">
        <f>L64-L63</f>
        <v>-956.23088378641842</v>
      </c>
      <c r="M65" s="96">
        <f t="shared" ref="M65:AE65" si="36">M64-M63</f>
        <v>-752.18211578641785</v>
      </c>
      <c r="N65" s="96">
        <f t="shared" si="36"/>
        <v>-542.0118847464164</v>
      </c>
      <c r="O65" s="96">
        <f t="shared" si="36"/>
        <v>-325.53654677521808</v>
      </c>
      <c r="P65" s="96">
        <f t="shared" si="36"/>
        <v>-102.56694866488215</v>
      </c>
      <c r="Q65" s="96">
        <f t="shared" si="36"/>
        <v>127.09173738876598</v>
      </c>
      <c r="R65" s="96">
        <f t="shared" si="36"/>
        <v>363.64018402402144</v>
      </c>
      <c r="S65" s="96">
        <f t="shared" si="36"/>
        <v>607.28508405833418</v>
      </c>
      <c r="T65" s="96">
        <f t="shared" si="36"/>
        <v>858.23933109367681</v>
      </c>
      <c r="U65" s="96">
        <f t="shared" si="36"/>
        <v>1116.722205540078</v>
      </c>
      <c r="V65" s="96">
        <f t="shared" si="36"/>
        <v>2203.5731124559898</v>
      </c>
      <c r="W65" s="96">
        <f t="shared" si="36"/>
        <v>2477.7975939561802</v>
      </c>
      <c r="X65" s="96">
        <f t="shared" si="36"/>
        <v>2760.2488099013735</v>
      </c>
      <c r="Y65" s="96">
        <f t="shared" si="36"/>
        <v>3051.1735623249242</v>
      </c>
      <c r="Z65" s="96">
        <f t="shared" si="36"/>
        <v>3350.8260573211828</v>
      </c>
      <c r="AA65" s="96">
        <f t="shared" si="36"/>
        <v>3659.4681271673253</v>
      </c>
      <c r="AB65" s="96">
        <f t="shared" si="36"/>
        <v>3977.369459108857</v>
      </c>
      <c r="AC65" s="96">
        <f t="shared" si="36"/>
        <v>4304.807831008633</v>
      </c>
      <c r="AD65" s="96">
        <f t="shared" si="36"/>
        <v>4642.0693540653992</v>
      </c>
      <c r="AE65" s="96">
        <f t="shared" si="36"/>
        <v>4989.4487228138714</v>
      </c>
      <c r="AF65" s="106">
        <f>SUM(L65:AE65)</f>
        <v>35811.232792469258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Shared loop GSHP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2020-01-08T09:47:44Z</dcterms:created>
  <dcterms:modified xsi:type="dcterms:W3CDTF">2021-03-29T20:28:44Z</dcterms:modified>
</cp:coreProperties>
</file>