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LLS Project\Reporting\Phase 4 Reporting\"/>
    </mc:Choice>
  </mc:AlternateContent>
  <xr:revisionPtr revIDLastSave="0" documentId="13_ncr:1_{6B1C9326-3D54-4DC2-8836-24D93649AAF6}" xr6:coauthVersionLast="46" xr6:coauthVersionMax="46" xr10:uidLastSave="{00000000-0000-0000-0000-000000000000}"/>
  <bookViews>
    <workbookView xWindow="-120" yWindow="-120" windowWidth="38640" windowHeight="21390" activeTab="1" xr2:uid="{39216879-DF13-45F7-BCA8-D66308F8F9C6}"/>
  </bookViews>
  <sheets>
    <sheet name="Fundamendals" sheetId="5" r:id="rId1"/>
    <sheet name="Self-Funded" sheetId="2" r:id="rId2"/>
    <sheet name="Self-Funded w loan" sheetId="3" r:id="rId3"/>
    <sheet name="External Funding" sheetId="1" r:id="rId4"/>
    <sheet name="For report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4" l="1"/>
  <c r="D48" i="3"/>
  <c r="E48" i="3" s="1"/>
  <c r="F48" i="3" s="1"/>
  <c r="G48" i="3" s="1"/>
  <c r="H48" i="3" s="1"/>
  <c r="I48" i="3" s="1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G19" i="5"/>
  <c r="G18" i="5"/>
  <c r="D18" i="5"/>
  <c r="D19" i="5" s="1"/>
  <c r="C18" i="5"/>
  <c r="C19" i="5" s="1"/>
  <c r="J17" i="5"/>
  <c r="G17" i="5"/>
  <c r="D17" i="5"/>
  <c r="M14" i="5"/>
  <c r="L14" i="5"/>
  <c r="K14" i="5"/>
  <c r="J14" i="5"/>
  <c r="J18" i="5" s="1"/>
  <c r="J19" i="5" s="1"/>
  <c r="I14" i="5"/>
  <c r="I18" i="5" s="1"/>
  <c r="I19" i="5" s="1"/>
  <c r="H14" i="5"/>
  <c r="G14" i="5"/>
  <c r="F14" i="5"/>
  <c r="F17" i="5" s="1"/>
  <c r="E14" i="5"/>
  <c r="E17" i="5" s="1"/>
  <c r="D14" i="5"/>
  <c r="C14" i="5"/>
  <c r="B14" i="5"/>
  <c r="M12" i="5"/>
  <c r="M17" i="5" s="1"/>
  <c r="L12" i="5"/>
  <c r="L13" i="5" s="1"/>
  <c r="K12" i="5"/>
  <c r="K18" i="5" s="1"/>
  <c r="K19" i="5" s="1"/>
  <c r="J12" i="5"/>
  <c r="J15" i="5" s="1"/>
  <c r="I12" i="5"/>
  <c r="I13" i="5" s="1"/>
  <c r="H12" i="5"/>
  <c r="H13" i="5" s="1"/>
  <c r="G12" i="5"/>
  <c r="G13" i="5" s="1"/>
  <c r="F12" i="5"/>
  <c r="F13" i="5" s="1"/>
  <c r="E12" i="5"/>
  <c r="E13" i="5" s="1"/>
  <c r="D12" i="5"/>
  <c r="D13" i="5" s="1"/>
  <c r="C12" i="5"/>
  <c r="C17" i="5" s="1"/>
  <c r="B12" i="5"/>
  <c r="B18" i="5" s="1"/>
  <c r="B19" i="5" s="1"/>
  <c r="D30" i="4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D29" i="4"/>
  <c r="E29" i="4" s="1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P28" i="4"/>
  <c r="Q27" i="4"/>
  <c r="Q28" i="4" s="1"/>
  <c r="C18" i="4"/>
  <c r="C16" i="4"/>
  <c r="C17" i="4" s="1"/>
  <c r="C5" i="4"/>
  <c r="C8" i="4" s="1"/>
  <c r="D45" i="3"/>
  <c r="E45" i="3" s="1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C8" i="3"/>
  <c r="D44" i="3"/>
  <c r="E44" i="3" s="1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C30" i="3"/>
  <c r="C29" i="3"/>
  <c r="C28" i="3"/>
  <c r="C18" i="3"/>
  <c r="C16" i="3"/>
  <c r="C17" i="3" s="1"/>
  <c r="C19" i="3" s="1"/>
  <c r="AC10" i="3"/>
  <c r="AC9" i="3"/>
  <c r="AC7" i="3"/>
  <c r="C5" i="3"/>
  <c r="AC7" i="2"/>
  <c r="C30" i="2"/>
  <c r="C29" i="2"/>
  <c r="C28" i="2"/>
  <c r="C18" i="2"/>
  <c r="C16" i="2"/>
  <c r="AC10" i="2"/>
  <c r="AC9" i="2"/>
  <c r="AC8" i="2"/>
  <c r="C5" i="2"/>
  <c r="C8" i="2" s="1"/>
  <c r="AC9" i="1"/>
  <c r="C48" i="1"/>
  <c r="AC10" i="1" s="1"/>
  <c r="C5" i="1"/>
  <c r="C6" i="1" s="1"/>
  <c r="C18" i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C30" i="1"/>
  <c r="C29" i="1"/>
  <c r="C28" i="1"/>
  <c r="C16" i="1"/>
  <c r="C53" i="3" l="1"/>
  <c r="M15" i="5"/>
  <c r="L17" i="5"/>
  <c r="C13" i="5"/>
  <c r="L15" i="5"/>
  <c r="K13" i="5"/>
  <c r="K16" i="5" s="1"/>
  <c r="D15" i="5"/>
  <c r="D16" i="5" s="1"/>
  <c r="K17" i="5"/>
  <c r="J13" i="5"/>
  <c r="J16" i="5" s="1"/>
  <c r="G15" i="5"/>
  <c r="G16" i="5" s="1"/>
  <c r="I15" i="5"/>
  <c r="I16" i="5" s="1"/>
  <c r="H15" i="5"/>
  <c r="H16" i="5" s="1"/>
  <c r="M13" i="5"/>
  <c r="L16" i="5"/>
  <c r="M16" i="5"/>
  <c r="C15" i="5"/>
  <c r="C16" i="5" s="1"/>
  <c r="K15" i="5"/>
  <c r="L18" i="5"/>
  <c r="L19" i="5" s="1"/>
  <c r="B13" i="5"/>
  <c r="B15" i="5"/>
  <c r="H17" i="5"/>
  <c r="I17" i="5"/>
  <c r="E18" i="5"/>
  <c r="E19" i="5" s="1"/>
  <c r="M18" i="5"/>
  <c r="M19" i="5" s="1"/>
  <c r="B17" i="5"/>
  <c r="F18" i="5"/>
  <c r="F19" i="5" s="1"/>
  <c r="E15" i="5"/>
  <c r="E16" i="5" s="1"/>
  <c r="F15" i="5"/>
  <c r="F16" i="5" s="1"/>
  <c r="H18" i="5"/>
  <c r="H19" i="5" s="1"/>
  <c r="C19" i="4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C23" i="4"/>
  <c r="Q33" i="4"/>
  <c r="C27" i="4"/>
  <c r="P33" i="4"/>
  <c r="C24" i="4"/>
  <c r="D24" i="4" s="1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R27" i="4"/>
  <c r="C8" i="3"/>
  <c r="C24" i="3"/>
  <c r="C38" i="3"/>
  <c r="C39" i="3"/>
  <c r="D39" i="3" s="1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C25" i="3"/>
  <c r="C32" i="2"/>
  <c r="C42" i="2"/>
  <c r="C27" i="2"/>
  <c r="C17" i="2"/>
  <c r="C19" i="2" s="1"/>
  <c r="D48" i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C7" i="1"/>
  <c r="AC8" i="1"/>
  <c r="C8" i="1"/>
  <c r="C42" i="1" s="1"/>
  <c r="C17" i="1"/>
  <c r="D53" i="3" l="1"/>
  <c r="P37" i="4"/>
  <c r="P39" i="4" s="1"/>
  <c r="O39" i="4"/>
  <c r="C38" i="1"/>
  <c r="C19" i="1"/>
  <c r="N13" i="5"/>
  <c r="N19" i="5"/>
  <c r="B16" i="5"/>
  <c r="N16" i="5"/>
  <c r="O16" i="5" s="1"/>
  <c r="C28" i="4"/>
  <c r="C25" i="4"/>
  <c r="D23" i="4"/>
  <c r="Q37" i="4"/>
  <c r="R28" i="4"/>
  <c r="R33" i="4" s="1"/>
  <c r="S27" i="4"/>
  <c r="C33" i="2"/>
  <c r="C26" i="3"/>
  <c r="C32" i="3"/>
  <c r="C42" i="3"/>
  <c r="C43" i="3" s="1"/>
  <c r="C27" i="3"/>
  <c r="C33" i="3" s="1"/>
  <c r="D38" i="3"/>
  <c r="C40" i="3"/>
  <c r="C38" i="2"/>
  <c r="C24" i="2"/>
  <c r="C39" i="2"/>
  <c r="D39" i="2" s="1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C25" i="2"/>
  <c r="C43" i="1"/>
  <c r="AC6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D38" i="1"/>
  <c r="C32" i="1"/>
  <c r="C27" i="1"/>
  <c r="C25" i="1"/>
  <c r="C24" i="1"/>
  <c r="E53" i="3" l="1"/>
  <c r="C26" i="2"/>
  <c r="C33" i="4"/>
  <c r="C35" i="4" s="1"/>
  <c r="Q39" i="4"/>
  <c r="R37" i="4"/>
  <c r="D25" i="4"/>
  <c r="E23" i="4"/>
  <c r="S28" i="4"/>
  <c r="S33" i="4" s="1"/>
  <c r="T27" i="4"/>
  <c r="D40" i="3"/>
  <c r="E38" i="3"/>
  <c r="AC4" i="3"/>
  <c r="AC6" i="3"/>
  <c r="C49" i="3"/>
  <c r="C51" i="3" s="1"/>
  <c r="C55" i="3" s="1"/>
  <c r="C40" i="2"/>
  <c r="D38" i="2"/>
  <c r="C48" i="2"/>
  <c r="AC6" i="2"/>
  <c r="C49" i="1"/>
  <c r="C40" i="1"/>
  <c r="D40" i="1"/>
  <c r="E38" i="1"/>
  <c r="C33" i="1"/>
  <c r="C26" i="1"/>
  <c r="F53" i="3" l="1"/>
  <c r="D27" i="4"/>
  <c r="T28" i="4"/>
  <c r="T33" i="4" s="1"/>
  <c r="U27" i="4"/>
  <c r="R39" i="4"/>
  <c r="S37" i="4"/>
  <c r="E25" i="4"/>
  <c r="F23" i="4"/>
  <c r="AC11" i="3"/>
  <c r="AD11" i="3" s="1"/>
  <c r="D42" i="3"/>
  <c r="AD6" i="3"/>
  <c r="AD10" i="3"/>
  <c r="AD9" i="3"/>
  <c r="AD8" i="3"/>
  <c r="AD7" i="3"/>
  <c r="E40" i="3"/>
  <c r="F38" i="3"/>
  <c r="D40" i="2"/>
  <c r="E38" i="2"/>
  <c r="C50" i="2"/>
  <c r="AC4" i="2"/>
  <c r="C51" i="1"/>
  <c r="AC4" i="1"/>
  <c r="E40" i="1"/>
  <c r="F38" i="1"/>
  <c r="G53" i="3" l="1"/>
  <c r="F25" i="4"/>
  <c r="G23" i="4"/>
  <c r="D28" i="4"/>
  <c r="S39" i="4"/>
  <c r="T37" i="4"/>
  <c r="U28" i="4"/>
  <c r="U33" i="4" s="1"/>
  <c r="V27" i="4"/>
  <c r="F40" i="3"/>
  <c r="G38" i="3"/>
  <c r="D43" i="3"/>
  <c r="AD10" i="2"/>
  <c r="AD8" i="2"/>
  <c r="AD7" i="2"/>
  <c r="AD9" i="2"/>
  <c r="AC11" i="2"/>
  <c r="AD11" i="2" s="1"/>
  <c r="D42" i="2"/>
  <c r="AD6" i="2"/>
  <c r="F38" i="2"/>
  <c r="E40" i="2"/>
  <c r="AD10" i="1"/>
  <c r="AD9" i="1"/>
  <c r="AD8" i="1"/>
  <c r="AD7" i="1"/>
  <c r="AD6" i="1"/>
  <c r="D42" i="1"/>
  <c r="D43" i="1" s="1"/>
  <c r="D49" i="1" s="1"/>
  <c r="D51" i="1" s="1"/>
  <c r="E42" i="1" s="1"/>
  <c r="E43" i="1" s="1"/>
  <c r="E49" i="1" s="1"/>
  <c r="E51" i="1" s="1"/>
  <c r="F42" i="1" s="1"/>
  <c r="F43" i="1" s="1"/>
  <c r="F49" i="1" s="1"/>
  <c r="AC11" i="1"/>
  <c r="AD11" i="1" s="1"/>
  <c r="G38" i="1"/>
  <c r="F40" i="1"/>
  <c r="H53" i="3" l="1"/>
  <c r="D49" i="3"/>
  <c r="D33" i="4"/>
  <c r="D35" i="4" s="1"/>
  <c r="T39" i="4"/>
  <c r="U37" i="4"/>
  <c r="H23" i="4"/>
  <c r="G25" i="4"/>
  <c r="W27" i="4"/>
  <c r="V28" i="4"/>
  <c r="V33" i="4" s="1"/>
  <c r="G40" i="3"/>
  <c r="H38" i="3"/>
  <c r="G38" i="2"/>
  <c r="F40" i="2"/>
  <c r="D48" i="2"/>
  <c r="D50" i="2" s="1"/>
  <c r="E42" i="2" s="1"/>
  <c r="F51" i="1"/>
  <c r="G42" i="1" s="1"/>
  <c r="G43" i="1" s="1"/>
  <c r="G49" i="1" s="1"/>
  <c r="H38" i="1"/>
  <c r="G40" i="1"/>
  <c r="I53" i="3" l="1"/>
  <c r="D51" i="3"/>
  <c r="D55" i="3" s="1"/>
  <c r="E42" i="3"/>
  <c r="E43" i="3" s="1"/>
  <c r="E27" i="4"/>
  <c r="D39" i="4"/>
  <c r="U39" i="4"/>
  <c r="V37" i="4"/>
  <c r="I23" i="4"/>
  <c r="H25" i="4"/>
  <c r="X27" i="4"/>
  <c r="W28" i="4"/>
  <c r="W33" i="4" s="1"/>
  <c r="E28" i="4"/>
  <c r="H40" i="3"/>
  <c r="I38" i="3"/>
  <c r="E48" i="2"/>
  <c r="E50" i="2" s="1"/>
  <c r="F42" i="2" s="1"/>
  <c r="G40" i="2"/>
  <c r="H38" i="2"/>
  <c r="G51" i="1"/>
  <c r="H42" i="1" s="1"/>
  <c r="I38" i="1"/>
  <c r="H40" i="1"/>
  <c r="E49" i="3" l="1"/>
  <c r="E51" i="3" s="1"/>
  <c r="J53" i="3"/>
  <c r="X28" i="4"/>
  <c r="X33" i="4" s="1"/>
  <c r="Y27" i="4"/>
  <c r="I25" i="4"/>
  <c r="J23" i="4"/>
  <c r="W37" i="4"/>
  <c r="V39" i="4"/>
  <c r="E33" i="4"/>
  <c r="E35" i="4" s="1"/>
  <c r="F27" i="4" s="1"/>
  <c r="J38" i="3"/>
  <c r="I40" i="3"/>
  <c r="F48" i="2"/>
  <c r="F50" i="2" s="1"/>
  <c r="G42" i="2" s="1"/>
  <c r="H40" i="2"/>
  <c r="I38" i="2"/>
  <c r="H43" i="1"/>
  <c r="H49" i="1" s="1"/>
  <c r="H51" i="1" s="1"/>
  <c r="I42" i="1" s="1"/>
  <c r="J38" i="1"/>
  <c r="I40" i="1"/>
  <c r="F42" i="3" l="1"/>
  <c r="F43" i="3" s="1"/>
  <c r="E55" i="3"/>
  <c r="K53" i="3"/>
  <c r="E39" i="4"/>
  <c r="X37" i="4"/>
  <c r="W39" i="4"/>
  <c r="J25" i="4"/>
  <c r="K23" i="4"/>
  <c r="Y28" i="4"/>
  <c r="Y33" i="4" s="1"/>
  <c r="Z27" i="4"/>
  <c r="F28" i="4"/>
  <c r="J40" i="3"/>
  <c r="K38" i="3"/>
  <c r="G48" i="2"/>
  <c r="G50" i="2" s="1"/>
  <c r="H42" i="2" s="1"/>
  <c r="I40" i="2"/>
  <c r="J38" i="2"/>
  <c r="I43" i="1"/>
  <c r="I49" i="1" s="1"/>
  <c r="I51" i="1" s="1"/>
  <c r="J42" i="1" s="1"/>
  <c r="K38" i="1"/>
  <c r="J40" i="1"/>
  <c r="F49" i="3" l="1"/>
  <c r="F51" i="3" s="1"/>
  <c r="G42" i="3" s="1"/>
  <c r="G43" i="3" s="1"/>
  <c r="L53" i="3"/>
  <c r="Z28" i="4"/>
  <c r="Z33" i="4" s="1"/>
  <c r="AA27" i="4"/>
  <c r="AA28" i="4" s="1"/>
  <c r="AA33" i="4" s="1"/>
  <c r="K25" i="4"/>
  <c r="L23" i="4"/>
  <c r="F33" i="4"/>
  <c r="F35" i="4" s="1"/>
  <c r="G27" i="4" s="1"/>
  <c r="X39" i="4"/>
  <c r="Y37" i="4"/>
  <c r="L38" i="3"/>
  <c r="K40" i="3"/>
  <c r="H48" i="2"/>
  <c r="H50" i="2" s="1"/>
  <c r="I42" i="2" s="1"/>
  <c r="K38" i="2"/>
  <c r="J40" i="2"/>
  <c r="J43" i="1"/>
  <c r="J49" i="1" s="1"/>
  <c r="J51" i="1" s="1"/>
  <c r="K42" i="1" s="1"/>
  <c r="L38" i="1"/>
  <c r="K40" i="1"/>
  <c r="G49" i="3" l="1"/>
  <c r="G51" i="3" s="1"/>
  <c r="H42" i="3" s="1"/>
  <c r="H43" i="3" s="1"/>
  <c r="F55" i="3"/>
  <c r="M53" i="3"/>
  <c r="F39" i="4"/>
  <c r="G28" i="4"/>
  <c r="L25" i="4"/>
  <c r="M23" i="4"/>
  <c r="Y39" i="4"/>
  <c r="Z37" i="4"/>
  <c r="L40" i="3"/>
  <c r="M38" i="3"/>
  <c r="L38" i="2"/>
  <c r="K40" i="2"/>
  <c r="I48" i="2"/>
  <c r="I50" i="2" s="1"/>
  <c r="J42" i="2" s="1"/>
  <c r="K43" i="1"/>
  <c r="K49" i="1" s="1"/>
  <c r="K51" i="1" s="1"/>
  <c r="L42" i="1" s="1"/>
  <c r="M38" i="1"/>
  <c r="L40" i="1"/>
  <c r="H49" i="3" l="1"/>
  <c r="H51" i="3" s="1"/>
  <c r="I42" i="3" s="1"/>
  <c r="I43" i="3" s="1"/>
  <c r="G55" i="3"/>
  <c r="N53" i="3"/>
  <c r="Z39" i="4"/>
  <c r="AA37" i="4"/>
  <c r="AA39" i="4" s="1"/>
  <c r="P40" i="4" s="1"/>
  <c r="M25" i="4"/>
  <c r="N23" i="4"/>
  <c r="G33" i="4"/>
  <c r="G35" i="4" s="1"/>
  <c r="H27" i="4" s="1"/>
  <c r="M40" i="3"/>
  <c r="N38" i="3"/>
  <c r="J48" i="2"/>
  <c r="J50" i="2" s="1"/>
  <c r="K42" i="2" s="1"/>
  <c r="M38" i="2"/>
  <c r="L40" i="2"/>
  <c r="L43" i="1"/>
  <c r="L49" i="1" s="1"/>
  <c r="L51" i="1" s="1"/>
  <c r="M42" i="1" s="1"/>
  <c r="N38" i="1"/>
  <c r="M40" i="1"/>
  <c r="I49" i="3" l="1"/>
  <c r="I51" i="3" s="1"/>
  <c r="J42" i="3" s="1"/>
  <c r="J43" i="3" s="1"/>
  <c r="H55" i="3"/>
  <c r="O53" i="3"/>
  <c r="G39" i="4"/>
  <c r="H28" i="4"/>
  <c r="N25" i="4"/>
  <c r="O23" i="4"/>
  <c r="N40" i="3"/>
  <c r="O38" i="3"/>
  <c r="M40" i="2"/>
  <c r="N38" i="2"/>
  <c r="K48" i="2"/>
  <c r="K50" i="2" s="1"/>
  <c r="L42" i="2" s="1"/>
  <c r="M43" i="1"/>
  <c r="M49" i="1" s="1"/>
  <c r="M51" i="1" s="1"/>
  <c r="N42" i="1" s="1"/>
  <c r="O38" i="1"/>
  <c r="N40" i="1"/>
  <c r="J49" i="3" l="1"/>
  <c r="J51" i="3" s="1"/>
  <c r="K42" i="3" s="1"/>
  <c r="K43" i="3" s="1"/>
  <c r="I55" i="3"/>
  <c r="P53" i="3"/>
  <c r="P23" i="4"/>
  <c r="O25" i="4"/>
  <c r="H33" i="4"/>
  <c r="H35" i="4" s="1"/>
  <c r="I27" i="4" s="1"/>
  <c r="O40" i="3"/>
  <c r="P38" i="3"/>
  <c r="L48" i="2"/>
  <c r="L50" i="2" s="1"/>
  <c r="M42" i="2" s="1"/>
  <c r="N40" i="2"/>
  <c r="O38" i="2"/>
  <c r="N43" i="1"/>
  <c r="N49" i="1" s="1"/>
  <c r="N51" i="1" s="1"/>
  <c r="O42" i="1" s="1"/>
  <c r="P38" i="1"/>
  <c r="O40" i="1"/>
  <c r="K49" i="3" l="1"/>
  <c r="K51" i="3" s="1"/>
  <c r="L42" i="3" s="1"/>
  <c r="L43" i="3" s="1"/>
  <c r="J55" i="3"/>
  <c r="P55" i="3"/>
  <c r="Q53" i="3"/>
  <c r="H39" i="4"/>
  <c r="I28" i="4"/>
  <c r="P25" i="4"/>
  <c r="Q23" i="4"/>
  <c r="P40" i="3"/>
  <c r="Q38" i="3"/>
  <c r="O40" i="2"/>
  <c r="P38" i="2"/>
  <c r="M48" i="2"/>
  <c r="M50" i="2" s="1"/>
  <c r="N42" i="2" s="1"/>
  <c r="O43" i="1"/>
  <c r="O49" i="1" s="1"/>
  <c r="O51" i="1" s="1"/>
  <c r="P42" i="1" s="1"/>
  <c r="Q38" i="1"/>
  <c r="P40" i="1"/>
  <c r="L49" i="3" l="1"/>
  <c r="L51" i="3" s="1"/>
  <c r="M42" i="3" s="1"/>
  <c r="M43" i="3" s="1"/>
  <c r="K55" i="3"/>
  <c r="Q55" i="3"/>
  <c r="R53" i="3"/>
  <c r="R23" i="4"/>
  <c r="Q25" i="4"/>
  <c r="I33" i="4"/>
  <c r="I35" i="4" s="1"/>
  <c r="J27" i="4" s="1"/>
  <c r="R38" i="3"/>
  <c r="Q40" i="3"/>
  <c r="N48" i="2"/>
  <c r="N50" i="2" s="1"/>
  <c r="O42" i="2" s="1"/>
  <c r="P40" i="2"/>
  <c r="Q38" i="2"/>
  <c r="P43" i="1"/>
  <c r="P49" i="1" s="1"/>
  <c r="P51" i="1" s="1"/>
  <c r="Q42" i="1" s="1"/>
  <c r="R38" i="1"/>
  <c r="Q40" i="1"/>
  <c r="M49" i="3" l="1"/>
  <c r="M51" i="3" s="1"/>
  <c r="N42" i="3" s="1"/>
  <c r="N43" i="3" s="1"/>
  <c r="L55" i="3"/>
  <c r="R55" i="3"/>
  <c r="S53" i="3"/>
  <c r="I39" i="4"/>
  <c r="J28" i="4"/>
  <c r="R25" i="4"/>
  <c r="S23" i="4"/>
  <c r="R40" i="3"/>
  <c r="S38" i="3"/>
  <c r="O48" i="2"/>
  <c r="O50" i="2" s="1"/>
  <c r="P42" i="2" s="1"/>
  <c r="Q40" i="2"/>
  <c r="R38" i="2"/>
  <c r="Q43" i="1"/>
  <c r="Q49" i="1" s="1"/>
  <c r="Q51" i="1" s="1"/>
  <c r="R42" i="1" s="1"/>
  <c r="S38" i="1"/>
  <c r="R40" i="1"/>
  <c r="N49" i="3" l="1"/>
  <c r="N51" i="3" s="1"/>
  <c r="O42" i="3" s="1"/>
  <c r="O43" i="3" s="1"/>
  <c r="M55" i="3"/>
  <c r="S55" i="3"/>
  <c r="T53" i="3"/>
  <c r="S25" i="4"/>
  <c r="T23" i="4"/>
  <c r="J33" i="4"/>
  <c r="J35" i="4" s="1"/>
  <c r="K27" i="4" s="1"/>
  <c r="S40" i="3"/>
  <c r="T38" i="3"/>
  <c r="S38" i="2"/>
  <c r="R40" i="2"/>
  <c r="P48" i="2"/>
  <c r="P50" i="2" s="1"/>
  <c r="Q42" i="2" s="1"/>
  <c r="R43" i="1"/>
  <c r="R49" i="1" s="1"/>
  <c r="R51" i="1" s="1"/>
  <c r="S42" i="1" s="1"/>
  <c r="T38" i="1"/>
  <c r="S40" i="1"/>
  <c r="O49" i="3" l="1"/>
  <c r="O51" i="3" s="1"/>
  <c r="P42" i="3" s="1"/>
  <c r="P43" i="3" s="1"/>
  <c r="P49" i="3" s="1"/>
  <c r="O55" i="3"/>
  <c r="N55" i="3"/>
  <c r="T55" i="3"/>
  <c r="U53" i="3"/>
  <c r="C56" i="3"/>
  <c r="P51" i="3"/>
  <c r="Q42" i="3" s="1"/>
  <c r="J39" i="4"/>
  <c r="K28" i="4"/>
  <c r="T25" i="4"/>
  <c r="U23" i="4"/>
  <c r="T40" i="3"/>
  <c r="U38" i="3"/>
  <c r="Q48" i="2"/>
  <c r="Q50" i="2" s="1"/>
  <c r="R42" i="2" s="1"/>
  <c r="T38" i="2"/>
  <c r="S40" i="2"/>
  <c r="S43" i="1"/>
  <c r="S49" i="1" s="1"/>
  <c r="S51" i="1" s="1"/>
  <c r="T42" i="1" s="1"/>
  <c r="U38" i="1"/>
  <c r="T40" i="1"/>
  <c r="U55" i="3" l="1"/>
  <c r="V53" i="3"/>
  <c r="Q43" i="3"/>
  <c r="Q49" i="3" s="1"/>
  <c r="U25" i="4"/>
  <c r="V23" i="4"/>
  <c r="K33" i="4"/>
  <c r="K35" i="4" s="1"/>
  <c r="L27" i="4" s="1"/>
  <c r="U40" i="3"/>
  <c r="V38" i="3"/>
  <c r="R48" i="2"/>
  <c r="R50" i="2" s="1"/>
  <c r="S42" i="2" s="1"/>
  <c r="U38" i="2"/>
  <c r="T40" i="2"/>
  <c r="T43" i="1"/>
  <c r="T49" i="1" s="1"/>
  <c r="T51" i="1" s="1"/>
  <c r="U42" i="1" s="1"/>
  <c r="V38" i="1"/>
  <c r="U40" i="1"/>
  <c r="V55" i="3" l="1"/>
  <c r="W53" i="3"/>
  <c r="Q51" i="3"/>
  <c r="R42" i="3" s="1"/>
  <c r="K39" i="4"/>
  <c r="L28" i="4"/>
  <c r="V25" i="4"/>
  <c r="W23" i="4"/>
  <c r="V40" i="3"/>
  <c r="W38" i="3"/>
  <c r="S48" i="2"/>
  <c r="S50" i="2" s="1"/>
  <c r="T42" i="2" s="1"/>
  <c r="V38" i="2"/>
  <c r="U40" i="2"/>
  <c r="U43" i="1"/>
  <c r="U49" i="1" s="1"/>
  <c r="U51" i="1" s="1"/>
  <c r="V42" i="1" s="1"/>
  <c r="W38" i="1"/>
  <c r="V40" i="1"/>
  <c r="W55" i="3" l="1"/>
  <c r="X53" i="3"/>
  <c r="R43" i="3"/>
  <c r="R49" i="3" s="1"/>
  <c r="R51" i="3" s="1"/>
  <c r="S42" i="3" s="1"/>
  <c r="X23" i="4"/>
  <c r="W25" i="4"/>
  <c r="L33" i="4"/>
  <c r="L35" i="4" s="1"/>
  <c r="M27" i="4" s="1"/>
  <c r="W40" i="3"/>
  <c r="X38" i="3"/>
  <c r="T48" i="2"/>
  <c r="T50" i="2" s="1"/>
  <c r="U42" i="2" s="1"/>
  <c r="V40" i="2"/>
  <c r="W38" i="2"/>
  <c r="V43" i="1"/>
  <c r="V49" i="1" s="1"/>
  <c r="V51" i="1" s="1"/>
  <c r="W42" i="1" s="1"/>
  <c r="X38" i="1"/>
  <c r="W40" i="1"/>
  <c r="X55" i="3" l="1"/>
  <c r="Y53" i="3"/>
  <c r="S43" i="3"/>
  <c r="S49" i="3" s="1"/>
  <c r="S51" i="3" s="1"/>
  <c r="T42" i="3" s="1"/>
  <c r="L39" i="4"/>
  <c r="M28" i="4"/>
  <c r="Y23" i="4"/>
  <c r="X25" i="4"/>
  <c r="X40" i="3"/>
  <c r="Y38" i="3"/>
  <c r="W40" i="2"/>
  <c r="X38" i="2"/>
  <c r="U48" i="2"/>
  <c r="U50" i="2" s="1"/>
  <c r="V42" i="2" s="1"/>
  <c r="W43" i="1"/>
  <c r="W49" i="1" s="1"/>
  <c r="W51" i="1" s="1"/>
  <c r="X42" i="1" s="1"/>
  <c r="Y38" i="1"/>
  <c r="X40" i="1"/>
  <c r="Y55" i="3" l="1"/>
  <c r="Z53" i="3"/>
  <c r="T43" i="3"/>
  <c r="T49" i="3" s="1"/>
  <c r="T51" i="3" s="1"/>
  <c r="U42" i="3" s="1"/>
  <c r="Z23" i="4"/>
  <c r="Y25" i="4"/>
  <c r="M33" i="4"/>
  <c r="M35" i="4" s="1"/>
  <c r="N27" i="4" s="1"/>
  <c r="Y40" i="3"/>
  <c r="Z38" i="3"/>
  <c r="V48" i="2"/>
  <c r="V50" i="2" s="1"/>
  <c r="W42" i="2" s="1"/>
  <c r="X40" i="2"/>
  <c r="Y38" i="2"/>
  <c r="X43" i="1"/>
  <c r="X49" i="1" s="1"/>
  <c r="X51" i="1" s="1"/>
  <c r="Y42" i="1" s="1"/>
  <c r="Z38" i="1"/>
  <c r="Y40" i="1"/>
  <c r="Z55" i="3" l="1"/>
  <c r="AA53" i="3"/>
  <c r="AA55" i="3" s="1"/>
  <c r="P56" i="3" s="1"/>
  <c r="U43" i="3"/>
  <c r="U49" i="3" s="1"/>
  <c r="U51" i="3" s="1"/>
  <c r="V42" i="3" s="1"/>
  <c r="M39" i="4"/>
  <c r="N28" i="4"/>
  <c r="Z25" i="4"/>
  <c r="AA23" i="4"/>
  <c r="AA25" i="4" s="1"/>
  <c r="AA38" i="3"/>
  <c r="AA40" i="3" s="1"/>
  <c r="Z40" i="3"/>
  <c r="Y40" i="2"/>
  <c r="Z38" i="2"/>
  <c r="W48" i="2"/>
  <c r="W50" i="2" s="1"/>
  <c r="X42" i="2" s="1"/>
  <c r="Y43" i="1"/>
  <c r="Y49" i="1" s="1"/>
  <c r="Y51" i="1" s="1"/>
  <c r="Z42" i="1" s="1"/>
  <c r="AA38" i="1"/>
  <c r="AA40" i="1" s="1"/>
  <c r="Z40" i="1"/>
  <c r="V43" i="3" l="1"/>
  <c r="V49" i="3" s="1"/>
  <c r="V51" i="3" s="1"/>
  <c r="W42" i="3" s="1"/>
  <c r="N33" i="4"/>
  <c r="N35" i="4" s="1"/>
  <c r="O28" i="4" s="1"/>
  <c r="X48" i="2"/>
  <c r="X50" i="2" s="1"/>
  <c r="Y42" i="2" s="1"/>
  <c r="AA38" i="2"/>
  <c r="AA40" i="2" s="1"/>
  <c r="Z40" i="2"/>
  <c r="Z43" i="1"/>
  <c r="Z49" i="1" s="1"/>
  <c r="Z51" i="1" s="1"/>
  <c r="AA42" i="1" s="1"/>
  <c r="AA43" i="1" s="1"/>
  <c r="AA49" i="1" s="1"/>
  <c r="AA51" i="1" s="1"/>
  <c r="W43" i="3" l="1"/>
  <c r="W49" i="3" s="1"/>
  <c r="W51" i="3" s="1"/>
  <c r="X42" i="3" s="1"/>
  <c r="N39" i="4"/>
  <c r="C40" i="4" s="1"/>
  <c r="O33" i="4"/>
  <c r="Y48" i="2"/>
  <c r="Y50" i="2" s="1"/>
  <c r="Z42" i="2" s="1"/>
  <c r="X43" i="3" l="1"/>
  <c r="X49" i="3" s="1"/>
  <c r="X51" i="3" s="1"/>
  <c r="Y42" i="3" s="1"/>
  <c r="Z48" i="2"/>
  <c r="Z50" i="2" s="1"/>
  <c r="AA42" i="2" s="1"/>
  <c r="AA48" i="2" s="1"/>
  <c r="AA50" i="2" s="1"/>
  <c r="Y43" i="3" l="1"/>
  <c r="Y49" i="3" s="1"/>
  <c r="Y51" i="3" s="1"/>
  <c r="Z42" i="3" s="1"/>
  <c r="Z43" i="3" l="1"/>
  <c r="Z49" i="3" s="1"/>
  <c r="Z51" i="3" l="1"/>
  <c r="AA42" i="3" s="1"/>
  <c r="AA43" i="3" s="1"/>
  <c r="AA49" i="3" s="1"/>
  <c r="AA5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Stuart-Bennett</author>
  </authors>
  <commentList>
    <comment ref="A47" authorId="0" shapeId="0" xr:uid="{B76EA4F6-B97F-4C1A-AEAB-6471DE90F8B1}">
      <text>
        <r>
          <rPr>
            <b/>
            <sz val="9"/>
            <color indexed="81"/>
            <rFont val="Tahoma"/>
            <family val="2"/>
          </rPr>
          <t>Chris Stuart-Bennett:</t>
        </r>
        <r>
          <rPr>
            <sz val="9"/>
            <color indexed="81"/>
            <rFont val="Tahoma"/>
            <family val="2"/>
          </rPr>
          <t xml:space="preserve">
30 minutes per roof per month @£15ph in yr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Stuart-Bennett</author>
  </authors>
  <commentList>
    <comment ref="A48" authorId="0" shapeId="0" xr:uid="{A4299EAB-2F44-432A-A787-610D61667093}">
      <text>
        <r>
          <rPr>
            <b/>
            <sz val="9"/>
            <color indexed="81"/>
            <rFont val="Tahoma"/>
            <family val="2"/>
          </rPr>
          <t>Chris Stuart-Bennett:</t>
        </r>
        <r>
          <rPr>
            <sz val="9"/>
            <color indexed="81"/>
            <rFont val="Tahoma"/>
            <family val="2"/>
          </rPr>
          <t xml:space="preserve">
30 minutes per roof per month @£15ph in yr 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Stuart-Bennett</author>
  </authors>
  <commentList>
    <comment ref="A32" authorId="0" shapeId="0" xr:uid="{B5D9D36C-08E6-43E0-91C8-FABD01872C39}">
      <text>
        <r>
          <rPr>
            <b/>
            <sz val="9"/>
            <color indexed="81"/>
            <rFont val="Tahoma"/>
            <family val="2"/>
          </rPr>
          <t>Chris Stuart-Bennett:</t>
        </r>
        <r>
          <rPr>
            <sz val="9"/>
            <color indexed="81"/>
            <rFont val="Tahoma"/>
            <family val="2"/>
          </rPr>
          <t xml:space="preserve">
30 minutes per roof per month @£15ph in yr 1</t>
        </r>
      </text>
    </comment>
  </commentList>
</comments>
</file>

<file path=xl/sharedStrings.xml><?xml version="1.0" encoding="utf-8"?>
<sst xmlns="http://schemas.openxmlformats.org/spreadsheetml/2006/main" count="209" uniqueCount="79">
  <si>
    <t>Installed Capacity</t>
  </si>
  <si>
    <t>Insolation</t>
  </si>
  <si>
    <t>Battery size</t>
  </si>
  <si>
    <t>Lifetime</t>
  </si>
  <si>
    <t>Grid energy price</t>
  </si>
  <si>
    <t>Annual Generation</t>
  </si>
  <si>
    <t>Self-Use</t>
  </si>
  <si>
    <t>of which Battery storage</t>
  </si>
  <si>
    <t>Self Use %age</t>
  </si>
  <si>
    <t>Assumed Self Use without battery</t>
  </si>
  <si>
    <t>Export Price</t>
  </si>
  <si>
    <t>Total Cost</t>
  </si>
  <si>
    <t>Interest</t>
  </si>
  <si>
    <t>Self Use Price</t>
  </si>
  <si>
    <t>Self Use Income</t>
  </si>
  <si>
    <t>Export Income</t>
  </si>
  <si>
    <t>Insurance</t>
  </si>
  <si>
    <t>Install Cost</t>
  </si>
  <si>
    <t>Legals</t>
  </si>
  <si>
    <t>Interest @3%</t>
  </si>
  <si>
    <t>Total Income</t>
  </si>
  <si>
    <t>O&amp;M</t>
  </si>
  <si>
    <t>HW replacement fund</t>
  </si>
  <si>
    <t>Billing &amp; Admin</t>
  </si>
  <si>
    <t>Total Outgoings</t>
  </si>
  <si>
    <t>Annual - Simple Calculation (excl inflation, amortisation, cost of capital etc)</t>
  </si>
  <si>
    <t>Funding Cost (3.5%)</t>
  </si>
  <si>
    <t>Capital repayment</t>
  </si>
  <si>
    <t>Complex</t>
  </si>
  <si>
    <t>Inflation</t>
  </si>
  <si>
    <t>TOTAL</t>
  </si>
  <si>
    <t>Admin</t>
  </si>
  <si>
    <t>SURPLUS</t>
  </si>
  <si>
    <t>Balance</t>
  </si>
  <si>
    <t>Year</t>
  </si>
  <si>
    <t>HW fund</t>
  </si>
  <si>
    <t>PL Insurance</t>
  </si>
  <si>
    <t>Capital Repayment</t>
  </si>
  <si>
    <t>Repayment</t>
  </si>
  <si>
    <t>Effective cost of avoided grid electricity</t>
  </si>
  <si>
    <t>Community fund</t>
  </si>
  <si>
    <t>Excess cost of scheme</t>
  </si>
  <si>
    <t>Average excess per annum</t>
  </si>
  <si>
    <t>&lt;= assumes a full cycle per day for all but the shortest/dullest 2 months</t>
  </si>
  <si>
    <t>Grid energy price (£)</t>
  </si>
  <si>
    <t>Self Use value (£)</t>
  </si>
  <si>
    <t>Total Cost (£)</t>
  </si>
  <si>
    <t>Install Cost (£)</t>
  </si>
  <si>
    <t>Excess cost of scheme to user</t>
  </si>
  <si>
    <t>Installed PV capacity</t>
  </si>
  <si>
    <t>Installed battery capacity</t>
  </si>
  <si>
    <t>Baseload (kw)</t>
  </si>
  <si>
    <t>Daily consumption</t>
  </si>
  <si>
    <t>Electricity price per kwh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</si>
  <si>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</si>
  <si>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</si>
  <si>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</si>
  <si>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</si>
  <si>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</si>
  <si>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</si>
  <si>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</si>
  <si>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</si>
  <si>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</si>
  <si>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</si>
  <si>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</si>
  <si>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</si>
  <si>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</si>
  <si>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</si>
  <si>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Days</t>
  </si>
  <si>
    <t>Generation hours</t>
  </si>
  <si>
    <t>Generation Factor</t>
  </si>
  <si>
    <t>Avg Daily generation (kwh)</t>
  </si>
  <si>
    <t>Avg monthly generation (kwh)</t>
  </si>
  <si>
    <t>Base theoretical daily PV consumption</t>
  </si>
  <si>
    <t>Base self-use</t>
  </si>
  <si>
    <t>Base theoretical month PV consumption</t>
  </si>
  <si>
    <t>Average daily % grid savings</t>
  </si>
  <si>
    <t>Average daily bill savings</t>
  </si>
  <si>
    <t>Average monthly bill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</si>
</sst>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"/>
    <numFmt numFmtId="166" formatCode="&quot;£&quot;#,##0;[Red]&quot;£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1" applyFont="1"/>
    <xf numFmtId="1" fontId="0" fillId="0" borderId="0" xfId="0" applyNumberForma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1" fontId="5" fillId="0" borderId="0" xfId="0" applyNumberFormat="1" applyFont="1"/>
    <xf numFmtId="9" fontId="0" fillId="0" borderId="0" xfId="1" applyNumberFormat="1" applyFont="1"/>
    <xf numFmtId="1" fontId="2" fillId="0" borderId="0" xfId="0" applyNumberFormat="1" applyFont="1"/>
    <xf numFmtId="0" fontId="2" fillId="0" borderId="0" xfId="0" applyFont="1"/>
    <xf numFmtId="164" fontId="8" fillId="0" borderId="0" xfId="2" applyNumberFormat="1" applyFont="1"/>
    <xf numFmtId="166" fontId="8" fillId="0" borderId="0" xfId="2" applyNumberFormat="1" applyFont="1"/>
    <xf numFmtId="165" fontId="2" fillId="0" borderId="0" xfId="0" applyNumberFormat="1" applyFont="1"/>
    <xf numFmtId="0" fontId="0" fillId="2" borderId="0" xfId="0" applyFill="1"/>
    <xf numFmtId="0" fontId="0" fillId="3" borderId="0" xfId="0" applyFill="1"/>
    <xf numFmtId="0" fontId="8" fillId="0" borderId="0" xfId="0" applyFont="1"/>
    <xf numFmtId="9" fontId="2" fillId="0" borderId="0" xfId="1" applyFont="1"/>
    <xf numFmtId="164" fontId="0" fillId="0" borderId="0" xfId="2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9C988-2C7A-4783-8A18-88E709A53724}">
  <dimension ref="A1:O19"/>
  <sheetViews>
    <sheetView workbookViewId="0">
      <selection activeCell="B2" sqref="B2"/>
    </sheetView>
  </sheetViews>
  <sheetFormatPr defaultRowHeight="15" x14ac:dyDescent="0.25"/>
  <cols>
    <col min="1" max="1" width="37.28515625" bestFit="1" customWidth="1"/>
  </cols>
  <sheetData>
    <row r="1" spans="1:15" x14ac:dyDescent="0.25">
      <c r="A1" t="s">
        <v>49</v>
      </c>
      <c r="B1" s="15">
        <v>4.2</v>
      </c>
    </row>
    <row r="2" spans="1:15" x14ac:dyDescent="0.25">
      <c r="A2" t="s">
        <v>50</v>
      </c>
      <c r="B2" s="15">
        <v>2.9</v>
      </c>
    </row>
    <row r="3" spans="1:15" x14ac:dyDescent="0.25">
      <c r="A3" t="s">
        <v>51</v>
      </c>
      <c r="B3" s="15">
        <v>0.2</v>
      </c>
    </row>
    <row r="4" spans="1:15" x14ac:dyDescent="0.25">
      <c r="A4" t="s">
        <v>52</v>
      </c>
      <c r="B4" s="15">
        <v>7.5</v>
      </c>
    </row>
    <row r="5" spans="1:15" x14ac:dyDescent="0.25">
      <c r="A5" t="s">
        <v>53</v>
      </c>
      <c r="B5" s="15">
        <v>0.16</v>
      </c>
    </row>
    <row r="8" spans="1:15" x14ac:dyDescent="0.25">
      <c r="A8" t="s">
        <v>54</v>
      </c>
      <c r="B8" s="11" t="s">
        <v>55</v>
      </c>
      <c r="C8" s="11" t="s">
        <v>56</v>
      </c>
      <c r="D8" s="11" t="s">
        <v>57</v>
      </c>
      <c r="E8" s="11" t="s">
        <v>58</v>
      </c>
      <c r="F8" s="11" t="s">
        <v>59</v>
      </c>
      <c r="G8" s="11" t="s">
        <v>60</v>
      </c>
      <c r="H8" s="11" t="s">
        <v>61</v>
      </c>
      <c r="I8" s="11" t="s">
        <v>62</v>
      </c>
      <c r="J8" s="11" t="s">
        <v>63</v>
      </c>
      <c r="K8" s="11" t="s">
        <v>64</v>
      </c>
      <c r="L8" s="11" t="s">
        <v>65</v>
      </c>
      <c r="M8" s="11" t="s">
        <v>66</v>
      </c>
      <c r="N8" s="11" t="s">
        <v>67</v>
      </c>
    </row>
    <row r="9" spans="1:15" x14ac:dyDescent="0.25">
      <c r="A9" t="s">
        <v>68</v>
      </c>
      <c r="B9">
        <v>31</v>
      </c>
      <c r="C9">
        <v>28</v>
      </c>
      <c r="D9">
        <v>31</v>
      </c>
      <c r="E9">
        <v>30</v>
      </c>
      <c r="F9">
        <v>31</v>
      </c>
      <c r="G9">
        <v>30</v>
      </c>
      <c r="H9">
        <v>31</v>
      </c>
      <c r="I9">
        <v>31</v>
      </c>
      <c r="J9">
        <v>30</v>
      </c>
      <c r="K9">
        <v>31</v>
      </c>
      <c r="L9">
        <v>30</v>
      </c>
      <c r="M9">
        <v>31</v>
      </c>
    </row>
    <row r="10" spans="1:15" x14ac:dyDescent="0.25">
      <c r="A10" t="s">
        <v>69</v>
      </c>
      <c r="B10" s="16">
        <v>8</v>
      </c>
      <c r="C10" s="16">
        <v>9</v>
      </c>
      <c r="D10" s="16">
        <v>10</v>
      </c>
      <c r="E10" s="16">
        <v>11</v>
      </c>
      <c r="F10" s="16">
        <v>13</v>
      </c>
      <c r="G10" s="16">
        <v>15</v>
      </c>
      <c r="H10" s="16">
        <v>12</v>
      </c>
      <c r="I10" s="16">
        <v>11</v>
      </c>
      <c r="J10" s="16">
        <v>10</v>
      </c>
      <c r="K10" s="16">
        <v>9</v>
      </c>
      <c r="L10" s="16">
        <v>8</v>
      </c>
      <c r="M10" s="16">
        <v>7</v>
      </c>
    </row>
    <row r="11" spans="1:15" x14ac:dyDescent="0.25">
      <c r="A11" t="s">
        <v>70</v>
      </c>
      <c r="B11" s="16">
        <v>0.5</v>
      </c>
      <c r="C11" s="16">
        <v>1</v>
      </c>
      <c r="D11" s="16">
        <v>2.5</v>
      </c>
      <c r="E11" s="16">
        <v>3.5</v>
      </c>
      <c r="F11" s="16">
        <v>4</v>
      </c>
      <c r="G11" s="16">
        <v>4</v>
      </c>
      <c r="H11" s="16">
        <v>3.5</v>
      </c>
      <c r="I11" s="16">
        <v>3.5</v>
      </c>
      <c r="J11" s="16">
        <v>3</v>
      </c>
      <c r="K11" s="16">
        <v>1</v>
      </c>
      <c r="L11" s="16">
        <v>0.75</v>
      </c>
      <c r="M11" s="16">
        <v>0.5</v>
      </c>
    </row>
    <row r="12" spans="1:15" x14ac:dyDescent="0.25">
      <c r="A12" t="s">
        <v>71</v>
      </c>
      <c r="B12">
        <f>$B$1*B11</f>
        <v>2.1</v>
      </c>
      <c r="C12">
        <f t="shared" ref="C12:M12" si="0">$B$1*C11</f>
        <v>4.2</v>
      </c>
      <c r="D12">
        <f t="shared" si="0"/>
        <v>10.5</v>
      </c>
      <c r="E12">
        <f t="shared" si="0"/>
        <v>14.700000000000001</v>
      </c>
      <c r="F12">
        <f t="shared" si="0"/>
        <v>16.8</v>
      </c>
      <c r="G12">
        <f t="shared" si="0"/>
        <v>16.8</v>
      </c>
      <c r="H12">
        <f t="shared" si="0"/>
        <v>14.700000000000001</v>
      </c>
      <c r="I12">
        <f t="shared" si="0"/>
        <v>14.700000000000001</v>
      </c>
      <c r="J12">
        <f t="shared" si="0"/>
        <v>12.600000000000001</v>
      </c>
      <c r="K12">
        <f t="shared" si="0"/>
        <v>4.2</v>
      </c>
      <c r="L12">
        <f t="shared" si="0"/>
        <v>3.1500000000000004</v>
      </c>
      <c r="M12">
        <f t="shared" si="0"/>
        <v>2.1</v>
      </c>
    </row>
    <row r="13" spans="1:15" x14ac:dyDescent="0.25">
      <c r="A13" t="s">
        <v>72</v>
      </c>
      <c r="B13">
        <f>B12*B9</f>
        <v>65.100000000000009</v>
      </c>
      <c r="C13">
        <f t="shared" ref="C13:M13" si="1">C12*C9</f>
        <v>117.60000000000001</v>
      </c>
      <c r="D13">
        <f t="shared" si="1"/>
        <v>325.5</v>
      </c>
      <c r="E13">
        <f t="shared" si="1"/>
        <v>441.00000000000006</v>
      </c>
      <c r="F13">
        <f t="shared" si="1"/>
        <v>520.80000000000007</v>
      </c>
      <c r="G13">
        <f t="shared" si="1"/>
        <v>504</v>
      </c>
      <c r="H13">
        <f t="shared" si="1"/>
        <v>455.70000000000005</v>
      </c>
      <c r="I13">
        <f t="shared" si="1"/>
        <v>455.70000000000005</v>
      </c>
      <c r="J13">
        <f t="shared" si="1"/>
        <v>378.00000000000006</v>
      </c>
      <c r="K13">
        <f t="shared" si="1"/>
        <v>130.20000000000002</v>
      </c>
      <c r="L13">
        <f t="shared" si="1"/>
        <v>94.500000000000014</v>
      </c>
      <c r="M13">
        <f t="shared" si="1"/>
        <v>65.100000000000009</v>
      </c>
      <c r="N13" s="2">
        <f>SUM(B13:M13)</f>
        <v>3553.1999999999994</v>
      </c>
    </row>
    <row r="14" spans="1:15" x14ac:dyDescent="0.25">
      <c r="A14" t="s">
        <v>73</v>
      </c>
      <c r="B14" s="17">
        <f>$B$2+($B$3*B10)</f>
        <v>4.5</v>
      </c>
      <c r="C14" s="17">
        <f t="shared" ref="C14:M14" si="2">$B$2+($B$3*C10)</f>
        <v>4.7</v>
      </c>
      <c r="D14">
        <f t="shared" si="2"/>
        <v>4.9000000000000004</v>
      </c>
      <c r="E14">
        <f t="shared" si="2"/>
        <v>5.0999999999999996</v>
      </c>
      <c r="F14">
        <f t="shared" si="2"/>
        <v>5.5</v>
      </c>
      <c r="G14">
        <f t="shared" si="2"/>
        <v>5.9</v>
      </c>
      <c r="H14">
        <f t="shared" si="2"/>
        <v>5.3000000000000007</v>
      </c>
      <c r="I14">
        <f t="shared" si="2"/>
        <v>5.0999999999999996</v>
      </c>
      <c r="J14">
        <f t="shared" si="2"/>
        <v>4.9000000000000004</v>
      </c>
      <c r="K14" s="17">
        <f t="shared" si="2"/>
        <v>4.7</v>
      </c>
      <c r="L14" s="17">
        <f t="shared" si="2"/>
        <v>4.5</v>
      </c>
      <c r="M14" s="17">
        <f t="shared" si="2"/>
        <v>4.3</v>
      </c>
    </row>
    <row r="15" spans="1:15" x14ac:dyDescent="0.25">
      <c r="A15" t="s">
        <v>74</v>
      </c>
      <c r="B15" s="1">
        <f t="shared" ref="B15:M15" si="3">IF(B14/B12&gt;1,1,B14/B12)</f>
        <v>1</v>
      </c>
      <c r="C15" s="1">
        <f t="shared" si="3"/>
        <v>1</v>
      </c>
      <c r="D15" s="1">
        <f t="shared" si="3"/>
        <v>0.46666666666666667</v>
      </c>
      <c r="E15" s="1">
        <f t="shared" si="3"/>
        <v>0.34693877551020402</v>
      </c>
      <c r="F15" s="1">
        <f t="shared" si="3"/>
        <v>0.32738095238095238</v>
      </c>
      <c r="G15" s="1">
        <f t="shared" si="3"/>
        <v>0.35119047619047622</v>
      </c>
      <c r="H15" s="1">
        <f t="shared" si="3"/>
        <v>0.36054421768707484</v>
      </c>
      <c r="I15" s="1">
        <f t="shared" si="3"/>
        <v>0.34693877551020402</v>
      </c>
      <c r="J15" s="1">
        <f t="shared" si="3"/>
        <v>0.3888888888888889</v>
      </c>
      <c r="K15" s="1">
        <f t="shared" si="3"/>
        <v>1</v>
      </c>
      <c r="L15" s="1">
        <f t="shared" si="3"/>
        <v>1</v>
      </c>
      <c r="M15" s="1">
        <f t="shared" si="3"/>
        <v>1</v>
      </c>
    </row>
    <row r="16" spans="1:15" x14ac:dyDescent="0.25">
      <c r="A16" t="s">
        <v>75</v>
      </c>
      <c r="B16">
        <f>B13*B15</f>
        <v>65.100000000000009</v>
      </c>
      <c r="C16">
        <f t="shared" ref="C16:M16" si="4">C13*C15</f>
        <v>117.60000000000001</v>
      </c>
      <c r="D16">
        <f t="shared" si="4"/>
        <v>151.9</v>
      </c>
      <c r="E16">
        <f t="shared" si="4"/>
        <v>153</v>
      </c>
      <c r="F16">
        <f t="shared" si="4"/>
        <v>170.50000000000003</v>
      </c>
      <c r="G16">
        <f t="shared" si="4"/>
        <v>177.00000000000003</v>
      </c>
      <c r="H16">
        <f t="shared" si="4"/>
        <v>164.3</v>
      </c>
      <c r="I16">
        <f t="shared" si="4"/>
        <v>158.1</v>
      </c>
      <c r="J16">
        <f t="shared" si="4"/>
        <v>147.00000000000003</v>
      </c>
      <c r="K16">
        <f t="shared" si="4"/>
        <v>130.20000000000002</v>
      </c>
      <c r="L16">
        <f t="shared" si="4"/>
        <v>94.500000000000014</v>
      </c>
      <c r="M16">
        <f t="shared" si="4"/>
        <v>65.100000000000009</v>
      </c>
      <c r="N16" s="2">
        <f>SUM(B16:M16)</f>
        <v>1594.3</v>
      </c>
      <c r="O16" s="18">
        <f>N16/N13</f>
        <v>0.44869413486434767</v>
      </c>
    </row>
    <row r="17" spans="1:14" x14ac:dyDescent="0.25">
      <c r="A17" t="s">
        <v>76</v>
      </c>
      <c r="B17" s="1">
        <f>B12/$B$4</f>
        <v>0.28000000000000003</v>
      </c>
      <c r="C17" s="1">
        <f>C12/$B$4</f>
        <v>0.56000000000000005</v>
      </c>
      <c r="D17" s="1">
        <f>D14/$B$4</f>
        <v>0.65333333333333343</v>
      </c>
      <c r="E17" s="1">
        <f t="shared" ref="E17:J17" si="5">E14/$B$4</f>
        <v>0.67999999999999994</v>
      </c>
      <c r="F17" s="1">
        <f t="shared" si="5"/>
        <v>0.73333333333333328</v>
      </c>
      <c r="G17" s="1">
        <f t="shared" si="5"/>
        <v>0.78666666666666674</v>
      </c>
      <c r="H17" s="1">
        <f t="shared" si="5"/>
        <v>0.70666666666666678</v>
      </c>
      <c r="I17" s="1">
        <f t="shared" si="5"/>
        <v>0.67999999999999994</v>
      </c>
      <c r="J17" s="1">
        <f t="shared" si="5"/>
        <v>0.65333333333333343</v>
      </c>
      <c r="K17" s="1">
        <f t="shared" ref="K17:M17" si="6">K12/$B$4</f>
        <v>0.56000000000000005</v>
      </c>
      <c r="L17" s="1">
        <f t="shared" si="6"/>
        <v>0.42000000000000004</v>
      </c>
      <c r="M17" s="1">
        <f t="shared" si="6"/>
        <v>0.28000000000000003</v>
      </c>
    </row>
    <row r="18" spans="1:14" x14ac:dyDescent="0.25">
      <c r="A18" t="s">
        <v>77</v>
      </c>
      <c r="B18">
        <f>B12*$B$5</f>
        <v>0.33600000000000002</v>
      </c>
      <c r="C18">
        <f t="shared" ref="C18:M18" si="7">C12*$B$5</f>
        <v>0.67200000000000004</v>
      </c>
      <c r="D18">
        <f>D14*$B$5</f>
        <v>0.78400000000000003</v>
      </c>
      <c r="E18">
        <f t="shared" ref="E18:J18" si="8">E14*$B$5</f>
        <v>0.81599999999999995</v>
      </c>
      <c r="F18">
        <f t="shared" si="8"/>
        <v>0.88</v>
      </c>
      <c r="G18">
        <f t="shared" si="8"/>
        <v>0.94400000000000006</v>
      </c>
      <c r="H18">
        <f t="shared" si="8"/>
        <v>0.84800000000000009</v>
      </c>
      <c r="I18">
        <f t="shared" si="8"/>
        <v>0.81599999999999995</v>
      </c>
      <c r="J18">
        <f t="shared" si="8"/>
        <v>0.78400000000000003</v>
      </c>
      <c r="K18">
        <f t="shared" si="7"/>
        <v>0.67200000000000004</v>
      </c>
      <c r="L18">
        <f t="shared" si="7"/>
        <v>0.50400000000000011</v>
      </c>
      <c r="M18">
        <f t="shared" si="7"/>
        <v>0.33600000000000002</v>
      </c>
    </row>
    <row r="19" spans="1:14" x14ac:dyDescent="0.25">
      <c r="A19" t="s">
        <v>78</v>
      </c>
      <c r="B19">
        <f>B18*B9</f>
        <v>10.416</v>
      </c>
      <c r="C19">
        <f t="shared" ref="C19:M19" si="9">C18*C9</f>
        <v>18.816000000000003</v>
      </c>
      <c r="D19">
        <f t="shared" si="9"/>
        <v>24.304000000000002</v>
      </c>
      <c r="E19">
        <f t="shared" si="9"/>
        <v>24.479999999999997</v>
      </c>
      <c r="F19">
        <f t="shared" si="9"/>
        <v>27.28</v>
      </c>
      <c r="G19">
        <f t="shared" si="9"/>
        <v>28.32</v>
      </c>
      <c r="H19">
        <f t="shared" si="9"/>
        <v>26.288000000000004</v>
      </c>
      <c r="I19">
        <f t="shared" si="9"/>
        <v>25.295999999999999</v>
      </c>
      <c r="J19">
        <f t="shared" si="9"/>
        <v>23.52</v>
      </c>
      <c r="K19">
        <f t="shared" si="9"/>
        <v>20.832000000000001</v>
      </c>
      <c r="L19">
        <f t="shared" si="9"/>
        <v>15.120000000000003</v>
      </c>
      <c r="M19">
        <f t="shared" si="9"/>
        <v>10.416</v>
      </c>
      <c r="N19" s="19">
        <f>SUM(B19:M19)</f>
        <v>255.08799999999999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042DD-90CD-4DCC-9253-F3BBE2F53D6F}">
  <dimension ref="A1:AD50"/>
  <sheetViews>
    <sheetView tabSelected="1" workbookViewId="0">
      <selection activeCell="C11" sqref="C11"/>
    </sheetView>
  </sheetViews>
  <sheetFormatPr defaultRowHeight="15" x14ac:dyDescent="0.25"/>
  <cols>
    <col min="1" max="1" width="31.7109375" bestFit="1" customWidth="1"/>
    <col min="2" max="2" width="2" customWidth="1"/>
    <col min="16" max="16" width="8.85546875" customWidth="1"/>
    <col min="28" max="28" width="21.140625" customWidth="1"/>
  </cols>
  <sheetData>
    <row r="1" spans="1:30" x14ac:dyDescent="0.25">
      <c r="A1" t="s">
        <v>0</v>
      </c>
      <c r="C1">
        <v>4.2</v>
      </c>
    </row>
    <row r="2" spans="1:30" x14ac:dyDescent="0.25">
      <c r="A2" t="s">
        <v>1</v>
      </c>
      <c r="C2">
        <v>950</v>
      </c>
    </row>
    <row r="3" spans="1:30" x14ac:dyDescent="0.25">
      <c r="A3" t="s">
        <v>2</v>
      </c>
      <c r="C3">
        <v>2.9</v>
      </c>
    </row>
    <row r="4" spans="1:30" x14ac:dyDescent="0.25">
      <c r="A4" t="s">
        <v>3</v>
      </c>
      <c r="C4">
        <v>25</v>
      </c>
      <c r="AC4" s="2">
        <f>C40</f>
        <v>481.43750000000006</v>
      </c>
    </row>
    <row r="5" spans="1:30" x14ac:dyDescent="0.25">
      <c r="A5" t="s">
        <v>17</v>
      </c>
      <c r="C5" s="2">
        <f>3770+(((C1-2.1)/0.3)*52.5)</f>
        <v>4137.5</v>
      </c>
    </row>
    <row r="6" spans="1:30" x14ac:dyDescent="0.25">
      <c r="A6" t="s">
        <v>26</v>
      </c>
      <c r="C6" s="2">
        <v>0</v>
      </c>
      <c r="AB6" t="s">
        <v>12</v>
      </c>
      <c r="AC6" s="2">
        <f>C43</f>
        <v>0</v>
      </c>
      <c r="AD6" s="1">
        <f t="shared" ref="AD6:AD11" si="0">AC6/$AC$4</f>
        <v>0</v>
      </c>
    </row>
    <row r="7" spans="1:30" x14ac:dyDescent="0.25">
      <c r="A7" t="s">
        <v>18</v>
      </c>
      <c r="C7">
        <v>0</v>
      </c>
      <c r="AB7" t="s">
        <v>36</v>
      </c>
      <c r="AC7" s="2">
        <f>C44</f>
        <v>0</v>
      </c>
      <c r="AD7" s="1">
        <f t="shared" si="0"/>
        <v>0</v>
      </c>
    </row>
    <row r="8" spans="1:30" x14ac:dyDescent="0.25">
      <c r="A8" t="s">
        <v>11</v>
      </c>
      <c r="C8" s="2">
        <f>C5+C6+C7</f>
        <v>4137.5</v>
      </c>
      <c r="AB8" t="s">
        <v>21</v>
      </c>
      <c r="AC8" s="2">
        <f>C45</f>
        <v>0</v>
      </c>
      <c r="AD8" s="1">
        <f t="shared" si="0"/>
        <v>0</v>
      </c>
    </row>
    <row r="9" spans="1:30" x14ac:dyDescent="0.25">
      <c r="A9" t="s">
        <v>4</v>
      </c>
      <c r="C9">
        <v>0.2</v>
      </c>
      <c r="AB9" t="s">
        <v>35</v>
      </c>
      <c r="AC9" s="2">
        <f>C46</f>
        <v>0</v>
      </c>
      <c r="AD9" s="1">
        <f t="shared" si="0"/>
        <v>0</v>
      </c>
    </row>
    <row r="10" spans="1:30" x14ac:dyDescent="0.25">
      <c r="A10" t="s">
        <v>13</v>
      </c>
      <c r="C10">
        <v>0.2</v>
      </c>
      <c r="AB10" t="s">
        <v>31</v>
      </c>
      <c r="AC10" s="2">
        <f>C47</f>
        <v>0</v>
      </c>
      <c r="AD10" s="1">
        <f t="shared" si="0"/>
        <v>0</v>
      </c>
    </row>
    <row r="11" spans="1:30" x14ac:dyDescent="0.25">
      <c r="A11" t="s">
        <v>10</v>
      </c>
      <c r="C11">
        <v>0.05</v>
      </c>
      <c r="AB11" t="s">
        <v>37</v>
      </c>
      <c r="AC11" s="2">
        <f>C50</f>
        <v>481.43750000000006</v>
      </c>
      <c r="AD11" s="1">
        <f t="shared" si="0"/>
        <v>1</v>
      </c>
    </row>
    <row r="12" spans="1:30" x14ac:dyDescent="0.25">
      <c r="A12" t="s">
        <v>9</v>
      </c>
      <c r="C12" s="1">
        <v>0.25</v>
      </c>
    </row>
    <row r="13" spans="1:30" x14ac:dyDescent="0.25">
      <c r="A13" t="s">
        <v>29</v>
      </c>
      <c r="C13" s="9">
        <v>0.02</v>
      </c>
    </row>
    <row r="16" spans="1:30" x14ac:dyDescent="0.25">
      <c r="A16" t="s">
        <v>5</v>
      </c>
      <c r="C16">
        <f>C1*C2</f>
        <v>3990</v>
      </c>
    </row>
    <row r="17" spans="1:3" x14ac:dyDescent="0.25">
      <c r="A17" t="s">
        <v>6</v>
      </c>
      <c r="C17" s="2">
        <f>(C16*C12)+C18</f>
        <v>1879.5833333333335</v>
      </c>
    </row>
    <row r="18" spans="1:3" x14ac:dyDescent="0.25">
      <c r="A18" s="3" t="s">
        <v>7</v>
      </c>
      <c r="B18" s="3"/>
      <c r="C18" s="4">
        <f>((10/12)*365)*C3</f>
        <v>882.08333333333337</v>
      </c>
    </row>
    <row r="19" spans="1:3" x14ac:dyDescent="0.25">
      <c r="A19" t="s">
        <v>8</v>
      </c>
      <c r="C19" s="1">
        <f>C17/C16</f>
        <v>0.47107351712614876</v>
      </c>
    </row>
    <row r="22" spans="1:3" x14ac:dyDescent="0.25">
      <c r="A22" t="s">
        <v>25</v>
      </c>
    </row>
    <row r="24" spans="1:3" x14ac:dyDescent="0.25">
      <c r="A24" t="s">
        <v>14</v>
      </c>
      <c r="C24" s="2">
        <f>C17*C10</f>
        <v>375.91666666666674</v>
      </c>
    </row>
    <row r="25" spans="1:3" x14ac:dyDescent="0.25">
      <c r="A25" t="s">
        <v>15</v>
      </c>
      <c r="C25" s="2">
        <f>(C16-C17)*C11</f>
        <v>105.52083333333333</v>
      </c>
    </row>
    <row r="26" spans="1:3" x14ac:dyDescent="0.25">
      <c r="A26" s="5" t="s">
        <v>20</v>
      </c>
      <c r="B26" s="5"/>
      <c r="C26" s="6">
        <f>SUM(C24:C25)</f>
        <v>481.43750000000006</v>
      </c>
    </row>
    <row r="27" spans="1:3" x14ac:dyDescent="0.25">
      <c r="A27" t="s">
        <v>19</v>
      </c>
      <c r="C27" s="2">
        <f>C8*0.03</f>
        <v>124.125</v>
      </c>
    </row>
    <row r="28" spans="1:3" x14ac:dyDescent="0.25">
      <c r="A28" t="s">
        <v>16</v>
      </c>
      <c r="C28" s="2">
        <f>3.5*C1</f>
        <v>14.700000000000001</v>
      </c>
    </row>
    <row r="29" spans="1:3" x14ac:dyDescent="0.25">
      <c r="A29" t="s">
        <v>21</v>
      </c>
      <c r="C29">
        <f>10*C1</f>
        <v>42</v>
      </c>
    </row>
    <row r="30" spans="1:3" x14ac:dyDescent="0.25">
      <c r="A30" t="s">
        <v>22</v>
      </c>
      <c r="C30">
        <f>500/C4</f>
        <v>20</v>
      </c>
    </row>
    <row r="31" spans="1:3" x14ac:dyDescent="0.25">
      <c r="A31" t="s">
        <v>23</v>
      </c>
      <c r="C31">
        <v>0</v>
      </c>
    </row>
    <row r="32" spans="1:3" x14ac:dyDescent="0.25">
      <c r="A32" t="s">
        <v>27</v>
      </c>
      <c r="C32" s="2">
        <f>C8/C4</f>
        <v>165.5</v>
      </c>
    </row>
    <row r="33" spans="1:27" x14ac:dyDescent="0.25">
      <c r="A33" s="7" t="s">
        <v>24</v>
      </c>
      <c r="B33" s="7"/>
      <c r="C33" s="8">
        <f>SUM(C27:C32)</f>
        <v>366.32499999999999</v>
      </c>
    </row>
    <row r="36" spans="1:27" x14ac:dyDescent="0.25">
      <c r="A36" t="s">
        <v>28</v>
      </c>
    </row>
    <row r="37" spans="1:27" x14ac:dyDescent="0.25">
      <c r="A37" s="11" t="s">
        <v>34</v>
      </c>
      <c r="B37" s="11"/>
      <c r="C37" s="11">
        <v>1</v>
      </c>
      <c r="D37" s="11">
        <v>2</v>
      </c>
      <c r="E37" s="11">
        <v>3</v>
      </c>
      <c r="F37" s="11">
        <v>4</v>
      </c>
      <c r="G37" s="11">
        <v>5</v>
      </c>
      <c r="H37" s="11">
        <v>6</v>
      </c>
      <c r="I37" s="11">
        <v>7</v>
      </c>
      <c r="J37" s="11">
        <v>8</v>
      </c>
      <c r="K37" s="11">
        <v>9</v>
      </c>
      <c r="L37" s="11">
        <v>10</v>
      </c>
      <c r="M37" s="11">
        <v>11</v>
      </c>
      <c r="N37" s="11">
        <v>12</v>
      </c>
      <c r="O37" s="11">
        <v>13</v>
      </c>
      <c r="P37" s="11">
        <v>14</v>
      </c>
      <c r="Q37" s="11">
        <v>15</v>
      </c>
      <c r="R37" s="11">
        <v>16</v>
      </c>
      <c r="S37" s="11">
        <v>17</v>
      </c>
      <c r="T37" s="11">
        <v>18</v>
      </c>
      <c r="U37" s="11">
        <v>19</v>
      </c>
      <c r="V37" s="11">
        <v>20</v>
      </c>
      <c r="W37" s="11">
        <v>21</v>
      </c>
      <c r="X37" s="11">
        <v>22</v>
      </c>
      <c r="Y37" s="11">
        <v>23</v>
      </c>
      <c r="Z37" s="11">
        <v>24</v>
      </c>
      <c r="AA37" s="11">
        <v>25</v>
      </c>
    </row>
    <row r="38" spans="1:27" x14ac:dyDescent="0.25">
      <c r="A38" t="s">
        <v>14</v>
      </c>
      <c r="C38" s="2">
        <f>C17*C10</f>
        <v>375.91666666666674</v>
      </c>
      <c r="D38" s="2">
        <f>C38*(1+$C$13)</f>
        <v>383.43500000000006</v>
      </c>
      <c r="E38" s="2">
        <f t="shared" ref="E38:AA39" si="1">D38*(1+$C$13)</f>
        <v>391.10370000000006</v>
      </c>
      <c r="F38" s="2">
        <f t="shared" si="1"/>
        <v>398.92577400000005</v>
      </c>
      <c r="G38" s="2">
        <f t="shared" si="1"/>
        <v>406.90428948000005</v>
      </c>
      <c r="H38" s="2">
        <f t="shared" si="1"/>
        <v>415.04237526960003</v>
      </c>
      <c r="I38" s="2">
        <f t="shared" si="1"/>
        <v>423.34322277499206</v>
      </c>
      <c r="J38" s="2">
        <f t="shared" si="1"/>
        <v>431.81008723049189</v>
      </c>
      <c r="K38" s="2">
        <f t="shared" si="1"/>
        <v>440.44628897510171</v>
      </c>
      <c r="L38" s="2">
        <f t="shared" si="1"/>
        <v>449.25521475460374</v>
      </c>
      <c r="M38" s="2">
        <f t="shared" si="1"/>
        <v>458.24031904969581</v>
      </c>
      <c r="N38" s="2">
        <f t="shared" si="1"/>
        <v>467.40512543068974</v>
      </c>
      <c r="O38" s="2">
        <f t="shared" si="1"/>
        <v>476.75322793930354</v>
      </c>
      <c r="P38" s="2">
        <f t="shared" si="1"/>
        <v>486.28829249808962</v>
      </c>
      <c r="Q38" s="2">
        <f t="shared" si="1"/>
        <v>496.01405834805144</v>
      </c>
      <c r="R38" s="2">
        <f t="shared" si="1"/>
        <v>505.93433951501248</v>
      </c>
      <c r="S38" s="2">
        <f t="shared" si="1"/>
        <v>516.05302630531276</v>
      </c>
      <c r="T38" s="2">
        <f t="shared" si="1"/>
        <v>526.37408683141905</v>
      </c>
      <c r="U38" s="2">
        <f t="shared" si="1"/>
        <v>536.90156856804742</v>
      </c>
      <c r="V38" s="2">
        <f t="shared" si="1"/>
        <v>547.63959993940841</v>
      </c>
      <c r="W38" s="2">
        <f t="shared" si="1"/>
        <v>558.59239193819656</v>
      </c>
      <c r="X38" s="2">
        <f t="shared" si="1"/>
        <v>569.76423977696049</v>
      </c>
      <c r="Y38" s="2">
        <f t="shared" si="1"/>
        <v>581.15952457249966</v>
      </c>
      <c r="Z38" s="2">
        <f t="shared" si="1"/>
        <v>592.78271506394969</v>
      </c>
      <c r="AA38" s="2">
        <f t="shared" si="1"/>
        <v>604.63836936522875</v>
      </c>
    </row>
    <row r="39" spans="1:27" x14ac:dyDescent="0.25">
      <c r="A39" t="s">
        <v>15</v>
      </c>
      <c r="C39" s="2">
        <f>(C16-C17)*C11</f>
        <v>105.52083333333333</v>
      </c>
      <c r="D39" s="2">
        <f>C39*(1+$C$13)</f>
        <v>107.63124999999999</v>
      </c>
      <c r="E39" s="2">
        <f t="shared" si="1"/>
        <v>109.78387499999999</v>
      </c>
      <c r="F39" s="2">
        <f t="shared" si="1"/>
        <v>111.9795525</v>
      </c>
      <c r="G39" s="2">
        <f t="shared" si="1"/>
        <v>114.21914355</v>
      </c>
      <c r="H39" s="2">
        <f t="shared" si="1"/>
        <v>116.503526421</v>
      </c>
      <c r="I39" s="2">
        <f t="shared" si="1"/>
        <v>118.83359694942001</v>
      </c>
      <c r="J39" s="2">
        <f t="shared" si="1"/>
        <v>121.21026888840842</v>
      </c>
      <c r="K39" s="2">
        <f t="shared" si="1"/>
        <v>123.6344742661766</v>
      </c>
      <c r="L39" s="2">
        <f t="shared" si="1"/>
        <v>126.10716375150012</v>
      </c>
      <c r="M39" s="2">
        <f t="shared" si="1"/>
        <v>128.62930702653014</v>
      </c>
      <c r="N39" s="2">
        <f t="shared" si="1"/>
        <v>131.20189316706075</v>
      </c>
      <c r="O39" s="2">
        <f t="shared" si="1"/>
        <v>133.82593103040196</v>
      </c>
      <c r="P39" s="2">
        <f t="shared" si="1"/>
        <v>136.50244965101001</v>
      </c>
      <c r="Q39" s="2">
        <f t="shared" si="1"/>
        <v>139.23249864403022</v>
      </c>
      <c r="R39" s="2">
        <f t="shared" si="1"/>
        <v>142.01714861691082</v>
      </c>
      <c r="S39" s="2">
        <f t="shared" si="1"/>
        <v>144.85749158924904</v>
      </c>
      <c r="T39" s="2">
        <f t="shared" si="1"/>
        <v>147.75464142103402</v>
      </c>
      <c r="U39" s="2">
        <f t="shared" si="1"/>
        <v>150.7097342494547</v>
      </c>
      <c r="V39" s="2">
        <f t="shared" si="1"/>
        <v>153.72392893444379</v>
      </c>
      <c r="W39" s="2">
        <f t="shared" si="1"/>
        <v>156.79840751313267</v>
      </c>
      <c r="X39" s="2">
        <f t="shared" si="1"/>
        <v>159.93437566339534</v>
      </c>
      <c r="Y39" s="2">
        <f t="shared" si="1"/>
        <v>163.13306317666326</v>
      </c>
      <c r="Z39" s="2">
        <f t="shared" si="1"/>
        <v>166.39572444019652</v>
      </c>
      <c r="AA39" s="2">
        <f t="shared" si="1"/>
        <v>169.72363892900046</v>
      </c>
    </row>
    <row r="40" spans="1:27" x14ac:dyDescent="0.25">
      <c r="A40" s="11" t="s">
        <v>30</v>
      </c>
      <c r="B40" s="11"/>
      <c r="C40" s="10">
        <f>C38+C39</f>
        <v>481.43750000000006</v>
      </c>
      <c r="D40" s="10">
        <f t="shared" ref="D40:AA40" si="2">D38+D39</f>
        <v>491.06625000000008</v>
      </c>
      <c r="E40" s="10">
        <f t="shared" si="2"/>
        <v>500.88757500000008</v>
      </c>
      <c r="F40" s="10">
        <f t="shared" si="2"/>
        <v>510.90532650000006</v>
      </c>
      <c r="G40" s="10">
        <f t="shared" si="2"/>
        <v>521.12343303</v>
      </c>
      <c r="H40" s="10">
        <f t="shared" si="2"/>
        <v>531.54590169059998</v>
      </c>
      <c r="I40" s="10">
        <f t="shared" si="2"/>
        <v>542.1768197244121</v>
      </c>
      <c r="J40" s="10">
        <f t="shared" si="2"/>
        <v>553.02035611890028</v>
      </c>
      <c r="K40" s="10">
        <f t="shared" si="2"/>
        <v>564.08076324127831</v>
      </c>
      <c r="L40" s="10">
        <f t="shared" si="2"/>
        <v>575.36237850610382</v>
      </c>
      <c r="M40" s="10">
        <f t="shared" si="2"/>
        <v>586.86962607622593</v>
      </c>
      <c r="N40" s="10">
        <f t="shared" si="2"/>
        <v>598.60701859775054</v>
      </c>
      <c r="O40" s="10">
        <f t="shared" si="2"/>
        <v>610.57915896970553</v>
      </c>
      <c r="P40" s="10">
        <f t="shared" si="2"/>
        <v>622.79074214909963</v>
      </c>
      <c r="Q40" s="10">
        <f t="shared" si="2"/>
        <v>635.24655699208165</v>
      </c>
      <c r="R40" s="10">
        <f t="shared" si="2"/>
        <v>647.95148813192327</v>
      </c>
      <c r="S40" s="10">
        <f t="shared" si="2"/>
        <v>660.91051789456174</v>
      </c>
      <c r="T40" s="10">
        <f t="shared" si="2"/>
        <v>674.12872825245313</v>
      </c>
      <c r="U40" s="10">
        <f t="shared" si="2"/>
        <v>687.61130281750206</v>
      </c>
      <c r="V40" s="10">
        <f t="shared" si="2"/>
        <v>701.36352887385215</v>
      </c>
      <c r="W40" s="10">
        <f t="shared" si="2"/>
        <v>715.39079945132926</v>
      </c>
      <c r="X40" s="10">
        <f t="shared" si="2"/>
        <v>729.69861544035587</v>
      </c>
      <c r="Y40" s="10">
        <f t="shared" si="2"/>
        <v>744.29258774916298</v>
      </c>
      <c r="Z40" s="10">
        <f t="shared" si="2"/>
        <v>759.17843950414624</v>
      </c>
      <c r="AA40" s="10">
        <f t="shared" si="2"/>
        <v>774.36200829422921</v>
      </c>
    </row>
    <row r="41" spans="1:27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t="s">
        <v>33</v>
      </c>
      <c r="C42" s="2">
        <f>C8</f>
        <v>4137.5</v>
      </c>
      <c r="D42" s="2">
        <f t="shared" ref="D42:AA42" si="3">C42-C50</f>
        <v>3656.0625</v>
      </c>
      <c r="E42" s="2">
        <f t="shared" si="3"/>
        <v>3164.9962500000001</v>
      </c>
      <c r="F42" s="2">
        <f t="shared" si="3"/>
        <v>2664.1086749999999</v>
      </c>
      <c r="G42" s="2">
        <f t="shared" si="3"/>
        <v>2153.2033484999997</v>
      </c>
      <c r="H42" s="2">
        <f t="shared" si="3"/>
        <v>1632.0799154699998</v>
      </c>
      <c r="I42" s="2">
        <f t="shared" si="3"/>
        <v>1100.5340137793999</v>
      </c>
      <c r="J42" s="2">
        <f t="shared" si="3"/>
        <v>558.35719405498776</v>
      </c>
      <c r="K42" s="2">
        <f t="shared" si="3"/>
        <v>5.3368379360874769</v>
      </c>
      <c r="L42" s="2">
        <f t="shared" si="3"/>
        <v>-558.74392530519083</v>
      </c>
      <c r="M42" s="2">
        <f t="shared" si="3"/>
        <v>-1134.1063038112948</v>
      </c>
      <c r="N42" s="2">
        <f t="shared" si="3"/>
        <v>-1720.9759298875206</v>
      </c>
      <c r="O42" s="2">
        <f t="shared" si="3"/>
        <v>-2319.5829484852711</v>
      </c>
      <c r="P42" s="2">
        <f t="shared" si="3"/>
        <v>-2930.1621074549766</v>
      </c>
      <c r="Q42" s="2">
        <f t="shared" si="3"/>
        <v>-3552.9528496040762</v>
      </c>
      <c r="R42" s="2">
        <f t="shared" si="3"/>
        <v>-4188.199406596158</v>
      </c>
      <c r="S42" s="2">
        <f t="shared" si="3"/>
        <v>-4836.1508947280818</v>
      </c>
      <c r="T42" s="2">
        <f t="shared" si="3"/>
        <v>-5497.0614126226437</v>
      </c>
      <c r="U42" s="2">
        <f t="shared" si="3"/>
        <v>-6171.1901408750964</v>
      </c>
      <c r="V42" s="2">
        <f t="shared" si="3"/>
        <v>-6858.8014436925987</v>
      </c>
      <c r="W42" s="2">
        <f t="shared" si="3"/>
        <v>-7560.1649725664511</v>
      </c>
      <c r="X42" s="2">
        <f t="shared" si="3"/>
        <v>-8275.5557720177803</v>
      </c>
      <c r="Y42" s="2">
        <f t="shared" si="3"/>
        <v>-9005.254387458137</v>
      </c>
      <c r="Z42" s="2">
        <f t="shared" si="3"/>
        <v>-9749.5469752073004</v>
      </c>
      <c r="AA42" s="2">
        <f t="shared" si="3"/>
        <v>-10508.725414711447</v>
      </c>
    </row>
    <row r="43" spans="1:27" x14ac:dyDescent="0.25">
      <c r="A43" t="s">
        <v>12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</row>
    <row r="44" spans="1:27" x14ac:dyDescent="0.25">
      <c r="A44" t="s">
        <v>16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</row>
    <row r="45" spans="1:27" x14ac:dyDescent="0.25">
      <c r="A45" t="s">
        <v>21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t="s">
        <v>22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t="s">
        <v>31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s="11" t="s">
        <v>30</v>
      </c>
      <c r="B48" s="11"/>
      <c r="C48" s="10">
        <f t="shared" ref="C48:AA48" si="4">SUM(C43:C47)</f>
        <v>0</v>
      </c>
      <c r="D48" s="10">
        <f t="shared" si="4"/>
        <v>0</v>
      </c>
      <c r="E48" s="10">
        <f t="shared" si="4"/>
        <v>0</v>
      </c>
      <c r="F48" s="10">
        <f t="shared" si="4"/>
        <v>0</v>
      </c>
      <c r="G48" s="10">
        <f t="shared" si="4"/>
        <v>0</v>
      </c>
      <c r="H48" s="10">
        <f t="shared" si="4"/>
        <v>0</v>
      </c>
      <c r="I48" s="10">
        <f t="shared" si="4"/>
        <v>0</v>
      </c>
      <c r="J48" s="10">
        <f t="shared" si="4"/>
        <v>0</v>
      </c>
      <c r="K48" s="10">
        <f t="shared" si="4"/>
        <v>0</v>
      </c>
      <c r="L48" s="10">
        <f t="shared" si="4"/>
        <v>0</v>
      </c>
      <c r="M48" s="10">
        <f t="shared" si="4"/>
        <v>0</v>
      </c>
      <c r="N48" s="10">
        <f t="shared" si="4"/>
        <v>0</v>
      </c>
      <c r="O48" s="10">
        <f t="shared" si="4"/>
        <v>0</v>
      </c>
      <c r="P48" s="10">
        <f t="shared" si="4"/>
        <v>0</v>
      </c>
      <c r="Q48" s="10">
        <f t="shared" si="4"/>
        <v>0</v>
      </c>
      <c r="R48" s="10">
        <f t="shared" si="4"/>
        <v>0</v>
      </c>
      <c r="S48" s="10">
        <f t="shared" si="4"/>
        <v>0</v>
      </c>
      <c r="T48" s="10">
        <f t="shared" si="4"/>
        <v>0</v>
      </c>
      <c r="U48" s="10">
        <f t="shared" si="4"/>
        <v>0</v>
      </c>
      <c r="V48" s="10">
        <f t="shared" si="4"/>
        <v>0</v>
      </c>
      <c r="W48" s="10">
        <f t="shared" si="4"/>
        <v>0</v>
      </c>
      <c r="X48" s="10">
        <f t="shared" si="4"/>
        <v>0</v>
      </c>
      <c r="Y48" s="10">
        <f t="shared" si="4"/>
        <v>0</v>
      </c>
      <c r="Z48" s="10">
        <f t="shared" si="4"/>
        <v>0</v>
      </c>
      <c r="AA48" s="10">
        <f t="shared" si="4"/>
        <v>0</v>
      </c>
    </row>
    <row r="50" spans="1:28" x14ac:dyDescent="0.25">
      <c r="A50" t="s">
        <v>32</v>
      </c>
      <c r="C50" s="2">
        <f t="shared" ref="C50:AA50" si="5">C40-C48</f>
        <v>481.43750000000006</v>
      </c>
      <c r="D50" s="2">
        <f t="shared" si="5"/>
        <v>491.06625000000008</v>
      </c>
      <c r="E50" s="2">
        <f t="shared" si="5"/>
        <v>500.88757500000008</v>
      </c>
      <c r="F50" s="2">
        <f t="shared" si="5"/>
        <v>510.90532650000006</v>
      </c>
      <c r="G50" s="2">
        <f t="shared" si="5"/>
        <v>521.12343303</v>
      </c>
      <c r="H50" s="2">
        <f t="shared" si="5"/>
        <v>531.54590169059998</v>
      </c>
      <c r="I50" s="2">
        <f t="shared" si="5"/>
        <v>542.1768197244121</v>
      </c>
      <c r="J50" s="2">
        <f t="shared" si="5"/>
        <v>553.02035611890028</v>
      </c>
      <c r="K50" s="2">
        <f t="shared" si="5"/>
        <v>564.08076324127831</v>
      </c>
      <c r="L50" s="2">
        <f t="shared" si="5"/>
        <v>575.36237850610382</v>
      </c>
      <c r="M50" s="2">
        <f t="shared" si="5"/>
        <v>586.86962607622593</v>
      </c>
      <c r="N50" s="2">
        <f t="shared" si="5"/>
        <v>598.60701859775054</v>
      </c>
      <c r="O50" s="2">
        <f t="shared" si="5"/>
        <v>610.57915896970553</v>
      </c>
      <c r="P50" s="2">
        <f t="shared" si="5"/>
        <v>622.79074214909963</v>
      </c>
      <c r="Q50" s="2">
        <f t="shared" si="5"/>
        <v>635.24655699208165</v>
      </c>
      <c r="R50" s="2">
        <f t="shared" si="5"/>
        <v>647.95148813192327</v>
      </c>
      <c r="S50" s="2">
        <f t="shared" si="5"/>
        <v>660.91051789456174</v>
      </c>
      <c r="T50" s="2">
        <f t="shared" si="5"/>
        <v>674.12872825245313</v>
      </c>
      <c r="U50" s="2">
        <f t="shared" si="5"/>
        <v>687.61130281750206</v>
      </c>
      <c r="V50" s="2">
        <f t="shared" si="5"/>
        <v>701.36352887385215</v>
      </c>
      <c r="W50" s="2">
        <f t="shared" si="5"/>
        <v>715.39079945132926</v>
      </c>
      <c r="X50" s="2">
        <f t="shared" si="5"/>
        <v>729.69861544035587</v>
      </c>
      <c r="Y50" s="2">
        <f t="shared" si="5"/>
        <v>744.29258774916298</v>
      </c>
      <c r="Z50" s="2">
        <f t="shared" si="5"/>
        <v>759.17843950414624</v>
      </c>
      <c r="AA50" s="2">
        <f t="shared" si="5"/>
        <v>774.36200829422921</v>
      </c>
      <c r="AB50" s="10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D676E-CB16-4FA4-B814-7EEC0B25B645}">
  <dimension ref="A1:AD56"/>
  <sheetViews>
    <sheetView topLeftCell="A4" workbookViewId="0">
      <selection activeCell="C11" sqref="C11"/>
    </sheetView>
  </sheetViews>
  <sheetFormatPr defaultRowHeight="15" x14ac:dyDescent="0.25"/>
  <cols>
    <col min="1" max="1" width="40.140625" customWidth="1"/>
    <col min="2" max="2" width="2" customWidth="1"/>
    <col min="16" max="16" width="8.85546875" customWidth="1"/>
    <col min="28" max="28" width="21.140625" customWidth="1"/>
  </cols>
  <sheetData>
    <row r="1" spans="1:30" x14ac:dyDescent="0.25">
      <c r="A1" t="s">
        <v>0</v>
      </c>
      <c r="C1">
        <v>4.2</v>
      </c>
    </row>
    <row r="2" spans="1:30" x14ac:dyDescent="0.25">
      <c r="A2" t="s">
        <v>1</v>
      </c>
      <c r="C2">
        <v>950</v>
      </c>
    </row>
    <row r="3" spans="1:30" x14ac:dyDescent="0.25">
      <c r="A3" t="s">
        <v>2</v>
      </c>
      <c r="C3">
        <v>2.9</v>
      </c>
    </row>
    <row r="4" spans="1:30" x14ac:dyDescent="0.25">
      <c r="A4" t="s">
        <v>3</v>
      </c>
      <c r="C4">
        <v>25</v>
      </c>
      <c r="AC4" s="2">
        <f>C40</f>
        <v>481.43750000000006</v>
      </c>
    </row>
    <row r="5" spans="1:30" x14ac:dyDescent="0.25">
      <c r="A5" t="s">
        <v>17</v>
      </c>
      <c r="C5" s="2">
        <f>3770+(((C1-2.1)/0.3)*52.5)</f>
        <v>4137.5</v>
      </c>
    </row>
    <row r="6" spans="1:30" x14ac:dyDescent="0.25">
      <c r="A6" t="s">
        <v>26</v>
      </c>
      <c r="C6" s="2">
        <v>0</v>
      </c>
      <c r="AB6" t="s">
        <v>12</v>
      </c>
      <c r="AC6" s="2">
        <f>C43</f>
        <v>124.125</v>
      </c>
      <c r="AD6" s="1">
        <f t="shared" ref="AD6:AD11" si="0">AC6/$AC$4</f>
        <v>0.25782162793716729</v>
      </c>
    </row>
    <row r="7" spans="1:30" x14ac:dyDescent="0.25">
      <c r="A7" t="s">
        <v>18</v>
      </c>
      <c r="C7">
        <v>0</v>
      </c>
      <c r="AB7" t="s">
        <v>36</v>
      </c>
      <c r="AC7" s="2">
        <f>C44</f>
        <v>0</v>
      </c>
      <c r="AD7" s="1">
        <f t="shared" si="0"/>
        <v>0</v>
      </c>
    </row>
    <row r="8" spans="1:30" x14ac:dyDescent="0.25">
      <c r="A8" t="s">
        <v>11</v>
      </c>
      <c r="C8" s="2">
        <f>C5+C6+C7</f>
        <v>4137.5</v>
      </c>
      <c r="AB8" t="s">
        <v>21</v>
      </c>
      <c r="AC8" s="2">
        <f>C45</f>
        <v>0</v>
      </c>
      <c r="AD8" s="1">
        <f t="shared" si="0"/>
        <v>0</v>
      </c>
    </row>
    <row r="9" spans="1:30" x14ac:dyDescent="0.25">
      <c r="A9" t="s">
        <v>4</v>
      </c>
      <c r="C9">
        <v>0.2</v>
      </c>
      <c r="AB9" t="s">
        <v>35</v>
      </c>
      <c r="AC9" s="2">
        <f>C46</f>
        <v>0</v>
      </c>
      <c r="AD9" s="1">
        <f t="shared" si="0"/>
        <v>0</v>
      </c>
    </row>
    <row r="10" spans="1:30" x14ac:dyDescent="0.25">
      <c r="A10" t="s">
        <v>13</v>
      </c>
      <c r="C10">
        <v>0.2</v>
      </c>
      <c r="AB10" t="s">
        <v>31</v>
      </c>
      <c r="AC10" s="2">
        <f>C48</f>
        <v>0</v>
      </c>
      <c r="AD10" s="1">
        <f t="shared" si="0"/>
        <v>0</v>
      </c>
    </row>
    <row r="11" spans="1:30" x14ac:dyDescent="0.25">
      <c r="A11" t="s">
        <v>10</v>
      </c>
      <c r="C11">
        <v>0.05</v>
      </c>
      <c r="AB11" t="s">
        <v>37</v>
      </c>
      <c r="AC11" s="2">
        <f>C51</f>
        <v>337.31250000000006</v>
      </c>
      <c r="AD11" s="1">
        <f t="shared" si="0"/>
        <v>0.70063611579903939</v>
      </c>
    </row>
    <row r="12" spans="1:30" x14ac:dyDescent="0.25">
      <c r="A12" t="s">
        <v>9</v>
      </c>
      <c r="C12" s="1">
        <v>0.25</v>
      </c>
    </row>
    <row r="13" spans="1:30" x14ac:dyDescent="0.25">
      <c r="A13" t="s">
        <v>29</v>
      </c>
      <c r="C13" s="9">
        <v>0.02</v>
      </c>
    </row>
    <row r="16" spans="1:30" x14ac:dyDescent="0.25">
      <c r="A16" t="s">
        <v>5</v>
      </c>
      <c r="C16">
        <f>C1*C2</f>
        <v>3990</v>
      </c>
    </row>
    <row r="17" spans="1:3" x14ac:dyDescent="0.25">
      <c r="A17" t="s">
        <v>6</v>
      </c>
      <c r="C17" s="2">
        <f>(C16*C12)+C18</f>
        <v>1879.5833333333335</v>
      </c>
    </row>
    <row r="18" spans="1:3" x14ac:dyDescent="0.25">
      <c r="A18" s="3" t="s">
        <v>7</v>
      </c>
      <c r="B18" s="3"/>
      <c r="C18" s="4">
        <f>((10/12)*365)*C3</f>
        <v>882.08333333333337</v>
      </c>
    </row>
    <row r="19" spans="1:3" x14ac:dyDescent="0.25">
      <c r="A19" t="s">
        <v>8</v>
      </c>
      <c r="C19" s="1">
        <f>C17/C16</f>
        <v>0.47107351712614876</v>
      </c>
    </row>
    <row r="22" spans="1:3" x14ac:dyDescent="0.25">
      <c r="A22" t="s">
        <v>25</v>
      </c>
    </row>
    <row r="24" spans="1:3" x14ac:dyDescent="0.25">
      <c r="A24" t="s">
        <v>14</v>
      </c>
      <c r="C24" s="2">
        <f>C17*C10</f>
        <v>375.91666666666674</v>
      </c>
    </row>
    <row r="25" spans="1:3" x14ac:dyDescent="0.25">
      <c r="A25" t="s">
        <v>15</v>
      </c>
      <c r="C25" s="2">
        <f>(C16-C17)*C11</f>
        <v>105.52083333333333</v>
      </c>
    </row>
    <row r="26" spans="1:3" x14ac:dyDescent="0.25">
      <c r="A26" s="5" t="s">
        <v>20</v>
      </c>
      <c r="B26" s="5"/>
      <c r="C26" s="6">
        <f>SUM(C24:C25)</f>
        <v>481.43750000000006</v>
      </c>
    </row>
    <row r="27" spans="1:3" x14ac:dyDescent="0.25">
      <c r="A27" t="s">
        <v>19</v>
      </c>
      <c r="C27" s="2">
        <f>C8*0.03</f>
        <v>124.125</v>
      </c>
    </row>
    <row r="28" spans="1:3" x14ac:dyDescent="0.25">
      <c r="A28" t="s">
        <v>16</v>
      </c>
      <c r="C28" s="2">
        <f>3.5*C1</f>
        <v>14.700000000000001</v>
      </c>
    </row>
    <row r="29" spans="1:3" x14ac:dyDescent="0.25">
      <c r="A29" t="s">
        <v>21</v>
      </c>
      <c r="C29">
        <f>10*C1</f>
        <v>42</v>
      </c>
    </row>
    <row r="30" spans="1:3" x14ac:dyDescent="0.25">
      <c r="A30" t="s">
        <v>22</v>
      </c>
      <c r="C30">
        <f>500/C4</f>
        <v>20</v>
      </c>
    </row>
    <row r="31" spans="1:3" x14ac:dyDescent="0.25">
      <c r="A31" t="s">
        <v>23</v>
      </c>
      <c r="C31">
        <v>0</v>
      </c>
    </row>
    <row r="32" spans="1:3" x14ac:dyDescent="0.25">
      <c r="A32" t="s">
        <v>27</v>
      </c>
      <c r="C32" s="2">
        <f>C8/C4</f>
        <v>165.5</v>
      </c>
    </row>
    <row r="33" spans="1:27" x14ac:dyDescent="0.25">
      <c r="A33" s="7" t="s">
        <v>24</v>
      </c>
      <c r="B33" s="7"/>
      <c r="C33" s="8">
        <f>SUM(C27:C32)</f>
        <v>366.32499999999999</v>
      </c>
    </row>
    <row r="36" spans="1:27" x14ac:dyDescent="0.25">
      <c r="A36" t="s">
        <v>28</v>
      </c>
    </row>
    <row r="37" spans="1:27" x14ac:dyDescent="0.25">
      <c r="A37" s="11" t="s">
        <v>34</v>
      </c>
      <c r="B37" s="11"/>
      <c r="C37" s="11">
        <v>1</v>
      </c>
      <c r="D37" s="11">
        <v>2</v>
      </c>
      <c r="E37" s="11">
        <v>3</v>
      </c>
      <c r="F37" s="11">
        <v>4</v>
      </c>
      <c r="G37" s="11">
        <v>5</v>
      </c>
      <c r="H37" s="11">
        <v>6</v>
      </c>
      <c r="I37" s="11">
        <v>7</v>
      </c>
      <c r="J37" s="11">
        <v>8</v>
      </c>
      <c r="K37" s="11">
        <v>9</v>
      </c>
      <c r="L37" s="11">
        <v>10</v>
      </c>
      <c r="M37" s="11">
        <v>11</v>
      </c>
      <c r="N37" s="11">
        <v>12</v>
      </c>
      <c r="O37" s="11">
        <v>13</v>
      </c>
      <c r="P37" s="11">
        <v>14</v>
      </c>
      <c r="Q37" s="11">
        <v>15</v>
      </c>
      <c r="R37" s="11">
        <v>16</v>
      </c>
      <c r="S37" s="11">
        <v>17</v>
      </c>
      <c r="T37" s="11">
        <v>18</v>
      </c>
      <c r="U37" s="11">
        <v>19</v>
      </c>
      <c r="V37" s="11">
        <v>20</v>
      </c>
      <c r="W37" s="11">
        <v>21</v>
      </c>
      <c r="X37" s="11">
        <v>22</v>
      </c>
      <c r="Y37" s="11">
        <v>23</v>
      </c>
      <c r="Z37" s="11">
        <v>24</v>
      </c>
      <c r="AA37" s="11">
        <v>25</v>
      </c>
    </row>
    <row r="38" spans="1:27" x14ac:dyDescent="0.25">
      <c r="A38" t="s">
        <v>14</v>
      </c>
      <c r="C38" s="2">
        <f>C17*C10</f>
        <v>375.91666666666674</v>
      </c>
      <c r="D38" s="2">
        <f>C38*(1+$C$13)</f>
        <v>383.43500000000006</v>
      </c>
      <c r="E38" s="2">
        <f t="shared" ref="E38:AA39" si="1">D38*(1+$C$13)</f>
        <v>391.10370000000006</v>
      </c>
      <c r="F38" s="2">
        <f t="shared" si="1"/>
        <v>398.92577400000005</v>
      </c>
      <c r="G38" s="2">
        <f t="shared" si="1"/>
        <v>406.90428948000005</v>
      </c>
      <c r="H38" s="2">
        <f t="shared" si="1"/>
        <v>415.04237526960003</v>
      </c>
      <c r="I38" s="2">
        <f t="shared" si="1"/>
        <v>423.34322277499206</v>
      </c>
      <c r="J38" s="2">
        <f t="shared" si="1"/>
        <v>431.81008723049189</v>
      </c>
      <c r="K38" s="2">
        <f t="shared" si="1"/>
        <v>440.44628897510171</v>
      </c>
      <c r="L38" s="2">
        <f t="shared" si="1"/>
        <v>449.25521475460374</v>
      </c>
      <c r="M38" s="2">
        <f t="shared" si="1"/>
        <v>458.24031904969581</v>
      </c>
      <c r="N38" s="2">
        <f t="shared" si="1"/>
        <v>467.40512543068974</v>
      </c>
      <c r="O38" s="2">
        <f t="shared" si="1"/>
        <v>476.75322793930354</v>
      </c>
      <c r="P38" s="2">
        <f t="shared" si="1"/>
        <v>486.28829249808962</v>
      </c>
      <c r="Q38" s="2">
        <f t="shared" si="1"/>
        <v>496.01405834805144</v>
      </c>
      <c r="R38" s="2">
        <f t="shared" si="1"/>
        <v>505.93433951501248</v>
      </c>
      <c r="S38" s="2">
        <f t="shared" si="1"/>
        <v>516.05302630531276</v>
      </c>
      <c r="T38" s="2">
        <f t="shared" si="1"/>
        <v>526.37408683141905</v>
      </c>
      <c r="U38" s="2">
        <f t="shared" si="1"/>
        <v>536.90156856804742</v>
      </c>
      <c r="V38" s="2">
        <f t="shared" si="1"/>
        <v>547.63959993940841</v>
      </c>
      <c r="W38" s="2">
        <f t="shared" si="1"/>
        <v>558.59239193819656</v>
      </c>
      <c r="X38" s="2">
        <f t="shared" si="1"/>
        <v>569.76423977696049</v>
      </c>
      <c r="Y38" s="2">
        <f t="shared" si="1"/>
        <v>581.15952457249966</v>
      </c>
      <c r="Z38" s="2">
        <f t="shared" si="1"/>
        <v>592.78271506394969</v>
      </c>
      <c r="AA38" s="2">
        <f t="shared" si="1"/>
        <v>604.63836936522875</v>
      </c>
    </row>
    <row r="39" spans="1:27" x14ac:dyDescent="0.25">
      <c r="A39" t="s">
        <v>15</v>
      </c>
      <c r="C39" s="2">
        <f>(C16-C17)*C11</f>
        <v>105.52083333333333</v>
      </c>
      <c r="D39" s="2">
        <f>C39*(1+$C$13)</f>
        <v>107.63124999999999</v>
      </c>
      <c r="E39" s="2">
        <f t="shared" si="1"/>
        <v>109.78387499999999</v>
      </c>
      <c r="F39" s="2">
        <f t="shared" si="1"/>
        <v>111.9795525</v>
      </c>
      <c r="G39" s="2">
        <f t="shared" si="1"/>
        <v>114.21914355</v>
      </c>
      <c r="H39" s="2">
        <f t="shared" si="1"/>
        <v>116.503526421</v>
      </c>
      <c r="I39" s="2">
        <f t="shared" si="1"/>
        <v>118.83359694942001</v>
      </c>
      <c r="J39" s="2">
        <f t="shared" si="1"/>
        <v>121.21026888840842</v>
      </c>
      <c r="K39" s="2">
        <f t="shared" si="1"/>
        <v>123.6344742661766</v>
      </c>
      <c r="L39" s="2">
        <f t="shared" si="1"/>
        <v>126.10716375150012</v>
      </c>
      <c r="M39" s="2">
        <f t="shared" si="1"/>
        <v>128.62930702653014</v>
      </c>
      <c r="N39" s="2">
        <f t="shared" si="1"/>
        <v>131.20189316706075</v>
      </c>
      <c r="O39" s="2">
        <f t="shared" si="1"/>
        <v>133.82593103040196</v>
      </c>
      <c r="P39" s="2">
        <f t="shared" si="1"/>
        <v>136.50244965101001</v>
      </c>
      <c r="Q39" s="2">
        <f t="shared" si="1"/>
        <v>139.23249864403022</v>
      </c>
      <c r="R39" s="2">
        <f t="shared" si="1"/>
        <v>142.01714861691082</v>
      </c>
      <c r="S39" s="2">
        <f t="shared" si="1"/>
        <v>144.85749158924904</v>
      </c>
      <c r="T39" s="2">
        <f t="shared" si="1"/>
        <v>147.75464142103402</v>
      </c>
      <c r="U39" s="2">
        <f t="shared" si="1"/>
        <v>150.7097342494547</v>
      </c>
      <c r="V39" s="2">
        <f t="shared" si="1"/>
        <v>153.72392893444379</v>
      </c>
      <c r="W39" s="2">
        <f t="shared" si="1"/>
        <v>156.79840751313267</v>
      </c>
      <c r="X39" s="2">
        <f t="shared" si="1"/>
        <v>159.93437566339534</v>
      </c>
      <c r="Y39" s="2">
        <f t="shared" si="1"/>
        <v>163.13306317666326</v>
      </c>
      <c r="Z39" s="2">
        <f t="shared" si="1"/>
        <v>166.39572444019652</v>
      </c>
      <c r="AA39" s="2">
        <f t="shared" si="1"/>
        <v>169.72363892900046</v>
      </c>
    </row>
    <row r="40" spans="1:27" x14ac:dyDescent="0.25">
      <c r="A40" s="11" t="s">
        <v>30</v>
      </c>
      <c r="B40" s="11"/>
      <c r="C40" s="10">
        <f>C38+C39</f>
        <v>481.43750000000006</v>
      </c>
      <c r="D40" s="10">
        <f t="shared" ref="D40:AA40" si="2">D38+D39</f>
        <v>491.06625000000008</v>
      </c>
      <c r="E40" s="10">
        <f t="shared" si="2"/>
        <v>500.88757500000008</v>
      </c>
      <c r="F40" s="10">
        <f t="shared" si="2"/>
        <v>510.90532650000006</v>
      </c>
      <c r="G40" s="10">
        <f t="shared" si="2"/>
        <v>521.12343303</v>
      </c>
      <c r="H40" s="10">
        <f t="shared" si="2"/>
        <v>531.54590169059998</v>
      </c>
      <c r="I40" s="10">
        <f t="shared" si="2"/>
        <v>542.1768197244121</v>
      </c>
      <c r="J40" s="10">
        <f t="shared" si="2"/>
        <v>553.02035611890028</v>
      </c>
      <c r="K40" s="10">
        <f t="shared" si="2"/>
        <v>564.08076324127831</v>
      </c>
      <c r="L40" s="10">
        <f t="shared" si="2"/>
        <v>575.36237850610382</v>
      </c>
      <c r="M40" s="10">
        <f t="shared" si="2"/>
        <v>586.86962607622593</v>
      </c>
      <c r="N40" s="10">
        <f t="shared" si="2"/>
        <v>598.60701859775054</v>
      </c>
      <c r="O40" s="10">
        <f t="shared" si="2"/>
        <v>610.57915896970553</v>
      </c>
      <c r="P40" s="10">
        <f t="shared" si="2"/>
        <v>622.79074214909963</v>
      </c>
      <c r="Q40" s="10">
        <f t="shared" si="2"/>
        <v>635.24655699208165</v>
      </c>
      <c r="R40" s="10">
        <f t="shared" si="2"/>
        <v>647.95148813192327</v>
      </c>
      <c r="S40" s="10">
        <f t="shared" si="2"/>
        <v>660.91051789456174</v>
      </c>
      <c r="T40" s="10">
        <f t="shared" si="2"/>
        <v>674.12872825245313</v>
      </c>
      <c r="U40" s="10">
        <f t="shared" si="2"/>
        <v>687.61130281750206</v>
      </c>
      <c r="V40" s="10">
        <f t="shared" si="2"/>
        <v>701.36352887385215</v>
      </c>
      <c r="W40" s="10">
        <f t="shared" si="2"/>
        <v>715.39079945132926</v>
      </c>
      <c r="X40" s="10">
        <f t="shared" si="2"/>
        <v>729.69861544035587</v>
      </c>
      <c r="Y40" s="10">
        <f t="shared" si="2"/>
        <v>744.29258774916298</v>
      </c>
      <c r="Z40" s="10">
        <f t="shared" si="2"/>
        <v>759.17843950414624</v>
      </c>
      <c r="AA40" s="10">
        <f t="shared" si="2"/>
        <v>774.36200829422921</v>
      </c>
    </row>
    <row r="41" spans="1:27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t="s">
        <v>33</v>
      </c>
      <c r="C42" s="2">
        <f>C8</f>
        <v>4137.5</v>
      </c>
      <c r="D42" s="2">
        <f>C42-C51</f>
        <v>3800.1875</v>
      </c>
      <c r="E42" s="2">
        <f t="shared" ref="E42:N42" si="3">D42-D51</f>
        <v>3443.1268749999999</v>
      </c>
      <c r="F42" s="2">
        <f t="shared" si="3"/>
        <v>3065.5331062499999</v>
      </c>
      <c r="G42" s="2">
        <f t="shared" si="3"/>
        <v>2666.5937729375</v>
      </c>
      <c r="H42" s="2">
        <f t="shared" si="3"/>
        <v>2245.468153095625</v>
      </c>
      <c r="I42" s="2">
        <f t="shared" si="3"/>
        <v>1801.2862959978938</v>
      </c>
      <c r="J42" s="2">
        <f t="shared" si="3"/>
        <v>1333.1480651534184</v>
      </c>
      <c r="K42" s="2">
        <f t="shared" si="3"/>
        <v>840.12215098912066</v>
      </c>
      <c r="L42" s="2">
        <f t="shared" si="3"/>
        <v>321.24505227751592</v>
      </c>
      <c r="M42" s="2">
        <f t="shared" si="3"/>
        <v>-224.47997466026243</v>
      </c>
      <c r="N42" s="2">
        <f t="shared" si="3"/>
        <v>-798.08399997629624</v>
      </c>
      <c r="O42" s="2">
        <f t="shared" ref="O42" si="4">N42-N51</f>
        <v>-1400.6335385733355</v>
      </c>
      <c r="P42" s="2">
        <f t="shared" ref="P42" si="5">O42-O51</f>
        <v>-2033.231703700241</v>
      </c>
      <c r="Q42" s="2">
        <f t="shared" ref="Q42" si="6">P42-P51</f>
        <v>-2697.0193969603479</v>
      </c>
      <c r="R42" s="2">
        <f t="shared" ref="R42" si="7">Q42-Q51</f>
        <v>-3393.1765358612402</v>
      </c>
      <c r="S42" s="2">
        <f t="shared" ref="S42" si="8">R42-R51</f>
        <v>-4122.9233200690005</v>
      </c>
      <c r="T42" s="2">
        <f t="shared" ref="T42" si="9">S42-S51</f>
        <v>-4887.5215375656326</v>
      </c>
      <c r="U42" s="2">
        <f t="shared" ref="U42" si="10">T42-T51</f>
        <v>-5688.2759119450548</v>
      </c>
      <c r="V42" s="2">
        <f t="shared" ref="V42" si="11">U42-U51</f>
        <v>-6526.5354921209082</v>
      </c>
      <c r="W42" s="2">
        <f t="shared" ref="W42" si="12">V42-V51</f>
        <v>-7403.6950857583879</v>
      </c>
      <c r="X42" s="2">
        <f t="shared" ref="X42" si="13">W42-W51</f>
        <v>-8321.1967377824694</v>
      </c>
      <c r="Y42" s="2">
        <f t="shared" ref="Y42" si="14">X42-X51</f>
        <v>-9280.5312553562999</v>
      </c>
      <c r="Z42" s="2">
        <f t="shared" ref="Z42" si="15">Y42-Y51</f>
        <v>-10283.239780766151</v>
      </c>
      <c r="AA42" s="2">
        <f t="shared" ref="AA42" si="16">Z42-Z51</f>
        <v>-11330.915413693281</v>
      </c>
    </row>
    <row r="43" spans="1:27" x14ac:dyDescent="0.25">
      <c r="A43" t="s">
        <v>12</v>
      </c>
      <c r="C43" s="2">
        <f>C42*0.03</f>
        <v>124.125</v>
      </c>
      <c r="D43" s="2">
        <f>D42*0.03</f>
        <v>114.00562499999999</v>
      </c>
      <c r="E43" s="2">
        <f t="shared" ref="E43:AA43" si="17">E42*0.03</f>
        <v>103.29380624999999</v>
      </c>
      <c r="F43" s="2">
        <f t="shared" si="17"/>
        <v>91.96599318749999</v>
      </c>
      <c r="G43" s="2">
        <f t="shared" si="17"/>
        <v>79.997813188124994</v>
      </c>
      <c r="H43" s="2">
        <f t="shared" si="17"/>
        <v>67.364044592868751</v>
      </c>
      <c r="I43" s="2">
        <f t="shared" si="17"/>
        <v>54.03858887993681</v>
      </c>
      <c r="J43" s="2">
        <f t="shared" si="17"/>
        <v>39.99444195460255</v>
      </c>
      <c r="K43" s="2">
        <f t="shared" si="17"/>
        <v>25.20366452967362</v>
      </c>
      <c r="L43" s="2">
        <f t="shared" si="17"/>
        <v>9.637351568325478</v>
      </c>
      <c r="M43" s="2">
        <f t="shared" si="17"/>
        <v>-6.7343992398078729</v>
      </c>
      <c r="N43" s="2">
        <f t="shared" si="17"/>
        <v>-23.942519999288887</v>
      </c>
      <c r="O43" s="2">
        <f t="shared" si="17"/>
        <v>-42.01900615720006</v>
      </c>
      <c r="P43" s="2">
        <f t="shared" si="17"/>
        <v>-60.996951111007228</v>
      </c>
      <c r="Q43" s="2">
        <f t="shared" si="17"/>
        <v>-80.910581908810428</v>
      </c>
      <c r="R43" s="2">
        <f t="shared" si="17"/>
        <v>-101.7952960758372</v>
      </c>
      <c r="S43" s="2">
        <f t="shared" si="17"/>
        <v>-123.68769960207001</v>
      </c>
      <c r="T43" s="2">
        <f t="shared" si="17"/>
        <v>-146.62564612696897</v>
      </c>
      <c r="U43" s="2">
        <f t="shared" si="17"/>
        <v>-170.64827735835163</v>
      </c>
      <c r="V43" s="2">
        <f t="shared" si="17"/>
        <v>-195.79606476362724</v>
      </c>
      <c r="W43" s="2">
        <f t="shared" si="17"/>
        <v>-222.11085257275164</v>
      </c>
      <c r="X43" s="2">
        <f t="shared" si="17"/>
        <v>-249.63590213347408</v>
      </c>
      <c r="Y43" s="2">
        <f t="shared" si="17"/>
        <v>-278.415937660689</v>
      </c>
      <c r="Z43" s="2">
        <f t="shared" si="17"/>
        <v>-308.49719342298454</v>
      </c>
      <c r="AA43" s="2">
        <f t="shared" si="17"/>
        <v>-339.9274624107984</v>
      </c>
    </row>
    <row r="44" spans="1:27" x14ac:dyDescent="0.25">
      <c r="A44" t="s">
        <v>16</v>
      </c>
      <c r="C44" s="2">
        <v>0</v>
      </c>
      <c r="D44" s="2">
        <f>C44*(1+$C$13)</f>
        <v>0</v>
      </c>
      <c r="E44" s="2">
        <f t="shared" ref="E44:AA45" si="18">D44*(1+$C$13)</f>
        <v>0</v>
      </c>
      <c r="F44" s="2">
        <f t="shared" si="18"/>
        <v>0</v>
      </c>
      <c r="G44" s="2">
        <f t="shared" si="18"/>
        <v>0</v>
      </c>
      <c r="H44" s="2">
        <f t="shared" si="18"/>
        <v>0</v>
      </c>
      <c r="I44" s="2">
        <f t="shared" si="18"/>
        <v>0</v>
      </c>
      <c r="J44" s="2">
        <f t="shared" si="18"/>
        <v>0</v>
      </c>
      <c r="K44" s="2">
        <f t="shared" si="18"/>
        <v>0</v>
      </c>
      <c r="L44" s="2">
        <f t="shared" si="18"/>
        <v>0</v>
      </c>
      <c r="M44" s="2">
        <f t="shared" si="18"/>
        <v>0</v>
      </c>
      <c r="N44" s="2">
        <f t="shared" si="18"/>
        <v>0</v>
      </c>
      <c r="O44" s="2">
        <f t="shared" si="18"/>
        <v>0</v>
      </c>
      <c r="P44" s="2">
        <f t="shared" si="18"/>
        <v>0</v>
      </c>
      <c r="Q44" s="2">
        <f t="shared" si="18"/>
        <v>0</v>
      </c>
      <c r="R44" s="2">
        <f t="shared" si="18"/>
        <v>0</v>
      </c>
      <c r="S44" s="2">
        <f t="shared" si="18"/>
        <v>0</v>
      </c>
      <c r="T44" s="2">
        <f t="shared" si="18"/>
        <v>0</v>
      </c>
      <c r="U44" s="2">
        <f t="shared" si="18"/>
        <v>0</v>
      </c>
      <c r="V44" s="2">
        <f t="shared" si="18"/>
        <v>0</v>
      </c>
      <c r="W44" s="2">
        <f t="shared" si="18"/>
        <v>0</v>
      </c>
      <c r="X44" s="2">
        <f t="shared" si="18"/>
        <v>0</v>
      </c>
      <c r="Y44" s="2">
        <f t="shared" si="18"/>
        <v>0</v>
      </c>
      <c r="Z44" s="2">
        <f t="shared" si="18"/>
        <v>0</v>
      </c>
      <c r="AA44" s="2">
        <f t="shared" si="18"/>
        <v>0</v>
      </c>
    </row>
    <row r="45" spans="1:27" x14ac:dyDescent="0.25">
      <c r="A45" t="s">
        <v>21</v>
      </c>
      <c r="C45">
        <v>0</v>
      </c>
      <c r="D45" s="2">
        <f>C45*(1+$C$13)</f>
        <v>0</v>
      </c>
      <c r="E45" s="2">
        <f t="shared" si="18"/>
        <v>0</v>
      </c>
      <c r="F45" s="2">
        <f t="shared" si="18"/>
        <v>0</v>
      </c>
      <c r="G45" s="2">
        <f t="shared" si="18"/>
        <v>0</v>
      </c>
      <c r="H45" s="2">
        <f t="shared" si="18"/>
        <v>0</v>
      </c>
      <c r="I45" s="2">
        <f t="shared" si="18"/>
        <v>0</v>
      </c>
      <c r="J45" s="2">
        <f t="shared" si="18"/>
        <v>0</v>
      </c>
      <c r="K45" s="2">
        <f t="shared" si="18"/>
        <v>0</v>
      </c>
      <c r="L45" s="2">
        <f t="shared" si="18"/>
        <v>0</v>
      </c>
      <c r="M45" s="2">
        <f t="shared" si="18"/>
        <v>0</v>
      </c>
      <c r="N45" s="2">
        <f t="shared" si="18"/>
        <v>0</v>
      </c>
      <c r="O45" s="2">
        <f t="shared" si="18"/>
        <v>0</v>
      </c>
      <c r="P45" s="2">
        <f t="shared" si="18"/>
        <v>0</v>
      </c>
      <c r="Q45" s="2">
        <f t="shared" si="18"/>
        <v>0</v>
      </c>
      <c r="R45" s="2">
        <f t="shared" si="18"/>
        <v>0</v>
      </c>
      <c r="S45" s="2">
        <f t="shared" si="18"/>
        <v>0</v>
      </c>
      <c r="T45" s="2">
        <f t="shared" si="18"/>
        <v>0</v>
      </c>
      <c r="U45" s="2">
        <f t="shared" si="18"/>
        <v>0</v>
      </c>
      <c r="V45" s="2">
        <f t="shared" si="18"/>
        <v>0</v>
      </c>
      <c r="W45" s="2">
        <f t="shared" si="18"/>
        <v>0</v>
      </c>
      <c r="X45" s="2">
        <f t="shared" si="18"/>
        <v>0</v>
      </c>
      <c r="Y45" s="2">
        <f t="shared" si="18"/>
        <v>0</v>
      </c>
      <c r="Z45" s="2">
        <f t="shared" si="18"/>
        <v>0</v>
      </c>
      <c r="AA45" s="2">
        <f t="shared" si="18"/>
        <v>0</v>
      </c>
    </row>
    <row r="46" spans="1:27" x14ac:dyDescent="0.25">
      <c r="A46" t="s">
        <v>22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t="s">
        <v>40</v>
      </c>
      <c r="C47" s="2">
        <v>20</v>
      </c>
      <c r="D47">
        <v>20</v>
      </c>
      <c r="E47" s="2">
        <v>20</v>
      </c>
      <c r="F47">
        <v>20</v>
      </c>
      <c r="G47" s="2">
        <v>20</v>
      </c>
      <c r="H47">
        <v>20</v>
      </c>
      <c r="I47" s="2">
        <v>20</v>
      </c>
      <c r="J47">
        <v>20</v>
      </c>
      <c r="K47" s="2">
        <v>20</v>
      </c>
      <c r="L47">
        <v>20</v>
      </c>
      <c r="M47" s="2">
        <v>20</v>
      </c>
      <c r="N47">
        <v>20</v>
      </c>
      <c r="O47" s="2">
        <v>20</v>
      </c>
      <c r="P47">
        <v>20</v>
      </c>
      <c r="Q47" s="2">
        <v>20</v>
      </c>
      <c r="R47">
        <v>20</v>
      </c>
      <c r="S47" s="2">
        <v>20</v>
      </c>
      <c r="T47">
        <v>20</v>
      </c>
      <c r="U47" s="2">
        <v>20</v>
      </c>
      <c r="V47">
        <v>20</v>
      </c>
      <c r="W47" s="2">
        <v>20</v>
      </c>
      <c r="X47">
        <v>20</v>
      </c>
      <c r="Y47" s="2">
        <v>20</v>
      </c>
      <c r="Z47">
        <v>20</v>
      </c>
      <c r="AA47" s="2">
        <v>20</v>
      </c>
    </row>
    <row r="48" spans="1:27" x14ac:dyDescent="0.25">
      <c r="A48" t="s">
        <v>31</v>
      </c>
      <c r="C48">
        <v>0</v>
      </c>
      <c r="D48" s="2">
        <f>C48*(1+$C$13)</f>
        <v>0</v>
      </c>
      <c r="E48" s="2">
        <f t="shared" ref="E48:AA48" si="19">D48*(1+$C$13)</f>
        <v>0</v>
      </c>
      <c r="F48" s="2">
        <f t="shared" si="19"/>
        <v>0</v>
      </c>
      <c r="G48" s="2">
        <f t="shared" si="19"/>
        <v>0</v>
      </c>
      <c r="H48" s="2">
        <f t="shared" si="19"/>
        <v>0</v>
      </c>
      <c r="I48" s="2">
        <f t="shared" si="19"/>
        <v>0</v>
      </c>
      <c r="J48" s="2">
        <f t="shared" si="19"/>
        <v>0</v>
      </c>
      <c r="K48" s="2">
        <f t="shared" si="19"/>
        <v>0</v>
      </c>
      <c r="L48" s="2">
        <f t="shared" si="19"/>
        <v>0</v>
      </c>
      <c r="M48" s="2">
        <f t="shared" si="19"/>
        <v>0</v>
      </c>
      <c r="N48" s="2">
        <f t="shared" si="19"/>
        <v>0</v>
      </c>
      <c r="O48" s="2">
        <f t="shared" si="19"/>
        <v>0</v>
      </c>
      <c r="P48" s="2">
        <f t="shared" si="19"/>
        <v>0</v>
      </c>
      <c r="Q48" s="2">
        <f>P48*(1+$C$13)</f>
        <v>0</v>
      </c>
      <c r="R48" s="2">
        <f>Q48*(1+$C$13)</f>
        <v>0</v>
      </c>
      <c r="S48" s="2">
        <f>R48*(1+$C$13)</f>
        <v>0</v>
      </c>
      <c r="T48" s="2">
        <f t="shared" si="19"/>
        <v>0</v>
      </c>
      <c r="U48" s="2">
        <f t="shared" si="19"/>
        <v>0</v>
      </c>
      <c r="V48" s="2">
        <f t="shared" si="19"/>
        <v>0</v>
      </c>
      <c r="W48" s="2">
        <f t="shared" si="19"/>
        <v>0</v>
      </c>
      <c r="X48" s="2">
        <f t="shared" si="19"/>
        <v>0</v>
      </c>
      <c r="Y48" s="2">
        <f t="shared" si="19"/>
        <v>0</v>
      </c>
      <c r="Z48" s="2">
        <f t="shared" si="19"/>
        <v>0</v>
      </c>
      <c r="AA48" s="2">
        <f t="shared" si="19"/>
        <v>0</v>
      </c>
    </row>
    <row r="49" spans="1:28" x14ac:dyDescent="0.25">
      <c r="A49" s="11" t="s">
        <v>30</v>
      </c>
      <c r="B49" s="11"/>
      <c r="C49" s="10">
        <f>SUM(C43:C48)</f>
        <v>144.125</v>
      </c>
      <c r="D49" s="10">
        <f t="shared" ref="D49:AA49" si="20">SUM(D43:D48)</f>
        <v>134.00562500000001</v>
      </c>
      <c r="E49" s="10">
        <f t="shared" si="20"/>
        <v>123.29380624999999</v>
      </c>
      <c r="F49" s="10">
        <f t="shared" si="20"/>
        <v>111.96599318749999</v>
      </c>
      <c r="G49" s="10">
        <f t="shared" si="20"/>
        <v>99.997813188124994</v>
      </c>
      <c r="H49" s="10">
        <f t="shared" si="20"/>
        <v>87.364044592868751</v>
      </c>
      <c r="I49" s="10">
        <f t="shared" si="20"/>
        <v>74.03858887993681</v>
      </c>
      <c r="J49" s="10">
        <f t="shared" si="20"/>
        <v>59.99444195460255</v>
      </c>
      <c r="K49" s="10">
        <f t="shared" si="20"/>
        <v>45.203664529673617</v>
      </c>
      <c r="L49" s="10">
        <f t="shared" si="20"/>
        <v>29.637351568325478</v>
      </c>
      <c r="M49" s="10">
        <f t="shared" si="20"/>
        <v>13.265600760192127</v>
      </c>
      <c r="N49" s="10">
        <f t="shared" si="20"/>
        <v>-3.9425199992888871</v>
      </c>
      <c r="O49" s="10">
        <f t="shared" si="20"/>
        <v>-22.01900615720006</v>
      </c>
      <c r="P49" s="10">
        <f t="shared" si="20"/>
        <v>-40.996951111007228</v>
      </c>
      <c r="Q49" s="10">
        <f t="shared" si="20"/>
        <v>-60.910581908810428</v>
      </c>
      <c r="R49" s="10">
        <f t="shared" si="20"/>
        <v>-81.7952960758372</v>
      </c>
      <c r="S49" s="10">
        <f t="shared" si="20"/>
        <v>-103.68769960207001</v>
      </c>
      <c r="T49" s="10">
        <f t="shared" si="20"/>
        <v>-126.62564612696897</v>
      </c>
      <c r="U49" s="10">
        <f t="shared" si="20"/>
        <v>-150.64827735835163</v>
      </c>
      <c r="V49" s="10">
        <f t="shared" si="20"/>
        <v>-175.79606476362724</v>
      </c>
      <c r="W49" s="10">
        <f t="shared" si="20"/>
        <v>-202.11085257275164</v>
      </c>
      <c r="X49" s="10">
        <f t="shared" si="20"/>
        <v>-229.63590213347408</v>
      </c>
      <c r="Y49" s="10">
        <f t="shared" si="20"/>
        <v>-258.415937660689</v>
      </c>
      <c r="Z49" s="10">
        <f t="shared" si="20"/>
        <v>-288.49719342298454</v>
      </c>
      <c r="AA49" s="10">
        <f t="shared" si="20"/>
        <v>-319.9274624107984</v>
      </c>
    </row>
    <row r="51" spans="1:28" x14ac:dyDescent="0.25">
      <c r="A51" t="s">
        <v>38</v>
      </c>
      <c r="C51" s="2">
        <f>C40-C49</f>
        <v>337.31250000000006</v>
      </c>
      <c r="D51" s="2">
        <f t="shared" ref="D51:AA51" si="21">D40-D49</f>
        <v>357.06062500000007</v>
      </c>
      <c r="E51" s="2">
        <f t="shared" si="21"/>
        <v>377.59376875000009</v>
      </c>
      <c r="F51" s="2">
        <f t="shared" si="21"/>
        <v>398.93933331250008</v>
      </c>
      <c r="G51" s="2">
        <f t="shared" si="21"/>
        <v>421.12561984187499</v>
      </c>
      <c r="H51" s="2">
        <f t="shared" si="21"/>
        <v>444.18185709773121</v>
      </c>
      <c r="I51" s="2">
        <f t="shared" si="21"/>
        <v>468.13823084447529</v>
      </c>
      <c r="J51" s="2">
        <f t="shared" si="21"/>
        <v>493.02591416429772</v>
      </c>
      <c r="K51" s="2">
        <f t="shared" si="21"/>
        <v>518.87709871160473</v>
      </c>
      <c r="L51" s="2">
        <f t="shared" si="21"/>
        <v>545.72502693777835</v>
      </c>
      <c r="M51" s="2">
        <f t="shared" si="21"/>
        <v>573.60402531603381</v>
      </c>
      <c r="N51" s="2">
        <f t="shared" si="21"/>
        <v>602.54953859703937</v>
      </c>
      <c r="O51" s="2">
        <f t="shared" si="21"/>
        <v>632.59816512690554</v>
      </c>
      <c r="P51" s="2">
        <f t="shared" si="21"/>
        <v>663.78769326010683</v>
      </c>
      <c r="Q51" s="2">
        <f t="shared" si="21"/>
        <v>696.15713890089205</v>
      </c>
      <c r="R51" s="2">
        <f t="shared" si="21"/>
        <v>729.74678420776047</v>
      </c>
      <c r="S51" s="2">
        <f t="shared" si="21"/>
        <v>764.59821749663172</v>
      </c>
      <c r="T51" s="2">
        <f t="shared" si="21"/>
        <v>800.75437437942207</v>
      </c>
      <c r="U51" s="2">
        <f t="shared" si="21"/>
        <v>838.25958017585367</v>
      </c>
      <c r="V51" s="2">
        <f t="shared" si="21"/>
        <v>877.15959363747936</v>
      </c>
      <c r="W51" s="2">
        <f t="shared" si="21"/>
        <v>917.50165202408084</v>
      </c>
      <c r="X51" s="2">
        <f t="shared" si="21"/>
        <v>959.33451757383</v>
      </c>
      <c r="Y51" s="2">
        <f t="shared" si="21"/>
        <v>1002.708525409852</v>
      </c>
      <c r="Z51" s="2">
        <f t="shared" si="21"/>
        <v>1047.6756329271307</v>
      </c>
      <c r="AA51" s="2">
        <f t="shared" si="21"/>
        <v>1094.2894707050277</v>
      </c>
      <c r="AB51" s="10"/>
    </row>
    <row r="53" spans="1:28" x14ac:dyDescent="0.25">
      <c r="A53" t="s">
        <v>39</v>
      </c>
      <c r="C53" s="2">
        <f>C17*C9</f>
        <v>375.91666666666674</v>
      </c>
      <c r="D53" s="2">
        <f>C53*(1+$C$13)</f>
        <v>383.43500000000006</v>
      </c>
      <c r="E53" s="2">
        <f t="shared" ref="E53:AA53" si="22">D53*(1+$C$13)</f>
        <v>391.10370000000006</v>
      </c>
      <c r="F53" s="2">
        <f t="shared" si="22"/>
        <v>398.92577400000005</v>
      </c>
      <c r="G53" s="2">
        <f t="shared" si="22"/>
        <v>406.90428948000005</v>
      </c>
      <c r="H53" s="2">
        <f t="shared" si="22"/>
        <v>415.04237526960003</v>
      </c>
      <c r="I53" s="2">
        <f t="shared" si="22"/>
        <v>423.34322277499206</v>
      </c>
      <c r="J53" s="2">
        <f t="shared" si="22"/>
        <v>431.81008723049189</v>
      </c>
      <c r="K53" s="2">
        <f t="shared" si="22"/>
        <v>440.44628897510171</v>
      </c>
      <c r="L53" s="2">
        <f t="shared" si="22"/>
        <v>449.25521475460374</v>
      </c>
      <c r="M53" s="2">
        <f t="shared" si="22"/>
        <v>458.24031904969581</v>
      </c>
      <c r="N53" s="2">
        <f t="shared" si="22"/>
        <v>467.40512543068974</v>
      </c>
      <c r="O53" s="2">
        <f t="shared" si="22"/>
        <v>476.75322793930354</v>
      </c>
      <c r="P53" s="2">
        <f t="shared" si="22"/>
        <v>486.28829249808962</v>
      </c>
      <c r="Q53" s="2">
        <f t="shared" si="22"/>
        <v>496.01405834805144</v>
      </c>
      <c r="R53" s="2">
        <f t="shared" si="22"/>
        <v>505.93433951501248</v>
      </c>
      <c r="S53" s="2">
        <f t="shared" si="22"/>
        <v>516.05302630531276</v>
      </c>
      <c r="T53" s="2">
        <f t="shared" si="22"/>
        <v>526.37408683141905</v>
      </c>
      <c r="U53" s="2">
        <f t="shared" si="22"/>
        <v>536.90156856804742</v>
      </c>
      <c r="V53" s="2">
        <f t="shared" si="22"/>
        <v>547.63959993940841</v>
      </c>
      <c r="W53" s="2">
        <f t="shared" si="22"/>
        <v>558.59239193819656</v>
      </c>
      <c r="X53" s="2">
        <f t="shared" si="22"/>
        <v>569.76423977696049</v>
      </c>
      <c r="Y53" s="2">
        <f t="shared" si="22"/>
        <v>581.15952457249966</v>
      </c>
      <c r="Z53" s="2">
        <f t="shared" si="22"/>
        <v>592.78271506394969</v>
      </c>
      <c r="AA53" s="2">
        <f t="shared" si="22"/>
        <v>604.63836936522875</v>
      </c>
    </row>
    <row r="55" spans="1:28" x14ac:dyDescent="0.25">
      <c r="A55" t="s">
        <v>41</v>
      </c>
      <c r="C55" s="12">
        <f>(C49+C51)-C53</f>
        <v>105.52083333333331</v>
      </c>
      <c r="D55" s="12">
        <f t="shared" ref="D55:O55" si="23">(D43+D47+D51)-D53</f>
        <v>107.63125000000002</v>
      </c>
      <c r="E55" s="12">
        <f t="shared" si="23"/>
        <v>109.78387500000002</v>
      </c>
      <c r="F55" s="12">
        <f t="shared" si="23"/>
        <v>111.97955250000001</v>
      </c>
      <c r="G55" s="12">
        <f t="shared" si="23"/>
        <v>114.21914354999996</v>
      </c>
      <c r="H55" s="12">
        <f t="shared" si="23"/>
        <v>116.50352642099995</v>
      </c>
      <c r="I55" s="12">
        <f t="shared" si="23"/>
        <v>118.83359694942004</v>
      </c>
      <c r="J55" s="12">
        <f t="shared" si="23"/>
        <v>121.21026888840839</v>
      </c>
      <c r="K55" s="12">
        <f t="shared" si="23"/>
        <v>123.6344742661766</v>
      </c>
      <c r="L55" s="12">
        <f t="shared" si="23"/>
        <v>126.10716375150008</v>
      </c>
      <c r="M55" s="12">
        <f t="shared" si="23"/>
        <v>128.62930702653011</v>
      </c>
      <c r="N55" s="12">
        <f t="shared" si="23"/>
        <v>131.2018931670608</v>
      </c>
      <c r="O55" s="12">
        <f t="shared" si="23"/>
        <v>133.82593103040199</v>
      </c>
      <c r="P55" s="2">
        <f t="shared" ref="P55:AA55" si="24">P53-P47</f>
        <v>466.28829249808962</v>
      </c>
      <c r="Q55" s="2">
        <f t="shared" si="24"/>
        <v>476.01405834805144</v>
      </c>
      <c r="R55" s="2">
        <f t="shared" si="24"/>
        <v>485.93433951501248</v>
      </c>
      <c r="S55" s="2">
        <f t="shared" si="24"/>
        <v>496.05302630531276</v>
      </c>
      <c r="T55" s="2">
        <f t="shared" si="24"/>
        <v>506.37408683141905</v>
      </c>
      <c r="U55" s="2">
        <f t="shared" si="24"/>
        <v>516.90156856804742</v>
      </c>
      <c r="V55" s="2">
        <f t="shared" si="24"/>
        <v>527.63959993940841</v>
      </c>
      <c r="W55" s="2">
        <f t="shared" si="24"/>
        <v>538.59239193819656</v>
      </c>
      <c r="X55" s="2">
        <f t="shared" si="24"/>
        <v>549.76423977696049</v>
      </c>
      <c r="Y55" s="2">
        <f t="shared" si="24"/>
        <v>561.15952457249966</v>
      </c>
      <c r="Z55" s="2">
        <f t="shared" si="24"/>
        <v>572.78271506394969</v>
      </c>
      <c r="AA55" s="2">
        <f t="shared" si="24"/>
        <v>584.63836936522875</v>
      </c>
    </row>
    <row r="56" spans="1:28" x14ac:dyDescent="0.25">
      <c r="A56" t="s">
        <v>42</v>
      </c>
      <c r="C56" s="22">
        <f>AVERAGE(C55:O55)</f>
        <v>119.16006276029472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0">
        <f>AVERAGE(P55:AA55)</f>
        <v>523.51185106018136</v>
      </c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</sheetData>
  <mergeCells count="2">
    <mergeCell ref="P56:AA56"/>
    <mergeCell ref="C56:O56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9AFBA-8395-4A37-94D1-7621FCA8C9DA}">
  <dimension ref="A1:AD51"/>
  <sheetViews>
    <sheetView workbookViewId="0">
      <selection activeCell="C11" sqref="C11"/>
    </sheetView>
  </sheetViews>
  <sheetFormatPr defaultRowHeight="15" x14ac:dyDescent="0.25"/>
  <cols>
    <col min="1" max="1" width="31.7109375" bestFit="1" customWidth="1"/>
    <col min="2" max="2" width="2" customWidth="1"/>
    <col min="16" max="16" width="8.85546875" customWidth="1"/>
    <col min="28" max="28" width="21.140625" customWidth="1"/>
  </cols>
  <sheetData>
    <row r="1" spans="1:30" x14ac:dyDescent="0.25">
      <c r="A1" t="s">
        <v>0</v>
      </c>
      <c r="C1">
        <v>4.2</v>
      </c>
    </row>
    <row r="2" spans="1:30" x14ac:dyDescent="0.25">
      <c r="A2" t="s">
        <v>1</v>
      </c>
      <c r="C2">
        <v>950</v>
      </c>
    </row>
    <row r="3" spans="1:30" x14ac:dyDescent="0.25">
      <c r="A3" t="s">
        <v>2</v>
      </c>
      <c r="C3">
        <v>2.9</v>
      </c>
    </row>
    <row r="4" spans="1:30" x14ac:dyDescent="0.25">
      <c r="A4" t="s">
        <v>3</v>
      </c>
      <c r="C4">
        <v>25</v>
      </c>
      <c r="AC4" s="2">
        <f>C40</f>
        <v>481.43750000000006</v>
      </c>
    </row>
    <row r="5" spans="1:30" x14ac:dyDescent="0.25">
      <c r="A5" t="s">
        <v>17</v>
      </c>
      <c r="C5" s="2">
        <f>3770+(((C1-2.1)/0.3)*52.5)</f>
        <v>4137.5</v>
      </c>
    </row>
    <row r="6" spans="1:30" x14ac:dyDescent="0.25">
      <c r="A6" t="s">
        <v>26</v>
      </c>
      <c r="C6" s="2">
        <f>C5*0.035</f>
        <v>144.8125</v>
      </c>
      <c r="AB6" t="s">
        <v>12</v>
      </c>
      <c r="AC6" s="2">
        <f>C43</f>
        <v>132.06937500000001</v>
      </c>
      <c r="AD6" s="1">
        <f t="shared" ref="AD6:AD11" si="0">AC6/$AC$4</f>
        <v>0.274322991042451</v>
      </c>
    </row>
    <row r="7" spans="1:30" x14ac:dyDescent="0.25">
      <c r="A7" t="s">
        <v>18</v>
      </c>
      <c r="C7">
        <v>120</v>
      </c>
      <c r="AB7" t="s">
        <v>36</v>
      </c>
      <c r="AC7" s="2">
        <f>C44</f>
        <v>14.700000000000001</v>
      </c>
      <c r="AD7" s="1">
        <f t="shared" si="0"/>
        <v>3.0533558353888095E-2</v>
      </c>
    </row>
    <row r="8" spans="1:30" x14ac:dyDescent="0.25">
      <c r="A8" t="s">
        <v>11</v>
      </c>
      <c r="C8" s="2">
        <f>C5+C6+C7</f>
        <v>4402.3125</v>
      </c>
      <c r="AB8" t="s">
        <v>21</v>
      </c>
      <c r="AC8" s="2">
        <f>C45</f>
        <v>42</v>
      </c>
      <c r="AD8" s="1">
        <f t="shared" si="0"/>
        <v>8.7238738153965975E-2</v>
      </c>
    </row>
    <row r="9" spans="1:30" x14ac:dyDescent="0.25">
      <c r="A9" t="s">
        <v>4</v>
      </c>
      <c r="C9">
        <v>0.2</v>
      </c>
      <c r="AB9" t="s">
        <v>35</v>
      </c>
      <c r="AC9" s="2">
        <f>C46</f>
        <v>20</v>
      </c>
      <c r="AD9" s="1">
        <f t="shared" si="0"/>
        <v>4.154225626379332E-2</v>
      </c>
    </row>
    <row r="10" spans="1:30" x14ac:dyDescent="0.25">
      <c r="A10" t="s">
        <v>13</v>
      </c>
      <c r="C10">
        <v>0.2</v>
      </c>
      <c r="AB10" t="s">
        <v>31</v>
      </c>
      <c r="AC10" s="2">
        <f>C48</f>
        <v>90</v>
      </c>
      <c r="AD10" s="1">
        <f t="shared" si="0"/>
        <v>0.18694015318706994</v>
      </c>
    </row>
    <row r="11" spans="1:30" x14ac:dyDescent="0.25">
      <c r="A11" t="s">
        <v>10</v>
      </c>
      <c r="C11">
        <v>0.05</v>
      </c>
      <c r="AB11" t="s">
        <v>37</v>
      </c>
      <c r="AC11" s="2">
        <f>C51</f>
        <v>162.66812500000009</v>
      </c>
      <c r="AD11" s="1">
        <f t="shared" si="0"/>
        <v>0.33788004673503846</v>
      </c>
    </row>
    <row r="12" spans="1:30" x14ac:dyDescent="0.25">
      <c r="A12" t="s">
        <v>9</v>
      </c>
      <c r="C12" s="1">
        <v>0.25</v>
      </c>
    </row>
    <row r="13" spans="1:30" x14ac:dyDescent="0.25">
      <c r="A13" t="s">
        <v>29</v>
      </c>
      <c r="C13" s="9">
        <v>0.02</v>
      </c>
    </row>
    <row r="16" spans="1:30" x14ac:dyDescent="0.25">
      <c r="A16" t="s">
        <v>5</v>
      </c>
      <c r="C16">
        <f>C1*C2</f>
        <v>3990</v>
      </c>
    </row>
    <row r="17" spans="1:3" x14ac:dyDescent="0.25">
      <c r="A17" t="s">
        <v>6</v>
      </c>
      <c r="C17" s="2">
        <f>(C16*C12)+C18</f>
        <v>1879.5833333333335</v>
      </c>
    </row>
    <row r="18" spans="1:3" x14ac:dyDescent="0.25">
      <c r="A18" s="3" t="s">
        <v>7</v>
      </c>
      <c r="B18" s="3"/>
      <c r="C18" s="4">
        <f>((10/12)*365)*C3</f>
        <v>882.08333333333337</v>
      </c>
    </row>
    <row r="19" spans="1:3" x14ac:dyDescent="0.25">
      <c r="A19" t="s">
        <v>8</v>
      </c>
      <c r="C19" s="1">
        <f>C17/C16</f>
        <v>0.47107351712614876</v>
      </c>
    </row>
    <row r="22" spans="1:3" x14ac:dyDescent="0.25">
      <c r="A22" t="s">
        <v>25</v>
      </c>
    </row>
    <row r="24" spans="1:3" x14ac:dyDescent="0.25">
      <c r="A24" t="s">
        <v>14</v>
      </c>
      <c r="C24" s="2">
        <f>C17*C10</f>
        <v>375.91666666666674</v>
      </c>
    </row>
    <row r="25" spans="1:3" x14ac:dyDescent="0.25">
      <c r="A25" t="s">
        <v>15</v>
      </c>
      <c r="C25" s="2">
        <f>(C16-C17)*C11</f>
        <v>105.52083333333333</v>
      </c>
    </row>
    <row r="26" spans="1:3" x14ac:dyDescent="0.25">
      <c r="A26" s="5" t="s">
        <v>20</v>
      </c>
      <c r="B26" s="5"/>
      <c r="C26" s="6">
        <f>SUM(C24:C25)</f>
        <v>481.43750000000006</v>
      </c>
    </row>
    <row r="27" spans="1:3" x14ac:dyDescent="0.25">
      <c r="A27" t="s">
        <v>19</v>
      </c>
      <c r="C27" s="2">
        <f>C8*0.03</f>
        <v>132.06937500000001</v>
      </c>
    </row>
    <row r="28" spans="1:3" x14ac:dyDescent="0.25">
      <c r="A28" t="s">
        <v>16</v>
      </c>
      <c r="C28" s="2">
        <f>3.5*C1</f>
        <v>14.700000000000001</v>
      </c>
    </row>
    <row r="29" spans="1:3" x14ac:dyDescent="0.25">
      <c r="A29" t="s">
        <v>21</v>
      </c>
      <c r="C29">
        <f>10*C1</f>
        <v>42</v>
      </c>
    </row>
    <row r="30" spans="1:3" x14ac:dyDescent="0.25">
      <c r="A30" t="s">
        <v>22</v>
      </c>
      <c r="C30">
        <f>500/C4</f>
        <v>20</v>
      </c>
    </row>
    <row r="31" spans="1:3" x14ac:dyDescent="0.25">
      <c r="A31" t="s">
        <v>23</v>
      </c>
      <c r="C31">
        <v>0</v>
      </c>
    </row>
    <row r="32" spans="1:3" x14ac:dyDescent="0.25">
      <c r="A32" t="s">
        <v>27</v>
      </c>
      <c r="C32" s="2">
        <f>C8/C4</f>
        <v>176.0925</v>
      </c>
    </row>
    <row r="33" spans="1:27" x14ac:dyDescent="0.25">
      <c r="A33" s="7" t="s">
        <v>24</v>
      </c>
      <c r="B33" s="7"/>
      <c r="C33" s="8">
        <f>SUM(C27:C32)</f>
        <v>384.861875</v>
      </c>
    </row>
    <row r="36" spans="1:27" x14ac:dyDescent="0.25">
      <c r="A36" t="s">
        <v>28</v>
      </c>
    </row>
    <row r="37" spans="1:27" x14ac:dyDescent="0.25">
      <c r="A37" s="11" t="s">
        <v>34</v>
      </c>
      <c r="B37" s="11"/>
      <c r="C37" s="11">
        <v>1</v>
      </c>
      <c r="D37" s="11">
        <v>2</v>
      </c>
      <c r="E37" s="11">
        <v>3</v>
      </c>
      <c r="F37" s="11">
        <v>4</v>
      </c>
      <c r="G37" s="11">
        <v>5</v>
      </c>
      <c r="H37" s="11">
        <v>6</v>
      </c>
      <c r="I37" s="11">
        <v>7</v>
      </c>
      <c r="J37" s="11">
        <v>8</v>
      </c>
      <c r="K37" s="11">
        <v>9</v>
      </c>
      <c r="L37" s="11">
        <v>10</v>
      </c>
      <c r="M37" s="11">
        <v>11</v>
      </c>
      <c r="N37" s="11">
        <v>12</v>
      </c>
      <c r="O37" s="11">
        <v>13</v>
      </c>
      <c r="P37" s="11">
        <v>14</v>
      </c>
      <c r="Q37" s="11">
        <v>15</v>
      </c>
      <c r="R37" s="11">
        <v>16</v>
      </c>
      <c r="S37" s="11">
        <v>17</v>
      </c>
      <c r="T37" s="11">
        <v>18</v>
      </c>
      <c r="U37" s="11">
        <v>19</v>
      </c>
      <c r="V37" s="11">
        <v>20</v>
      </c>
      <c r="W37" s="11">
        <v>21</v>
      </c>
      <c r="X37" s="11">
        <v>22</v>
      </c>
      <c r="Y37" s="11">
        <v>23</v>
      </c>
      <c r="Z37" s="11">
        <v>24</v>
      </c>
      <c r="AA37" s="11">
        <v>25</v>
      </c>
    </row>
    <row r="38" spans="1:27" x14ac:dyDescent="0.25">
      <c r="A38" t="s">
        <v>14</v>
      </c>
      <c r="C38" s="2">
        <f>C17*C10</f>
        <v>375.91666666666674</v>
      </c>
      <c r="D38" s="2">
        <f>C38*(1+$C$13)</f>
        <v>383.43500000000006</v>
      </c>
      <c r="E38" s="2">
        <f t="shared" ref="E38:AA38" si="1">D38*(1+$C$13)</f>
        <v>391.10370000000006</v>
      </c>
      <c r="F38" s="2">
        <f t="shared" si="1"/>
        <v>398.92577400000005</v>
      </c>
      <c r="G38" s="2">
        <f t="shared" si="1"/>
        <v>406.90428948000005</v>
      </c>
      <c r="H38" s="2">
        <f t="shared" si="1"/>
        <v>415.04237526960003</v>
      </c>
      <c r="I38" s="2">
        <f t="shared" si="1"/>
        <v>423.34322277499206</v>
      </c>
      <c r="J38" s="2">
        <f t="shared" si="1"/>
        <v>431.81008723049189</v>
      </c>
      <c r="K38" s="2">
        <f t="shared" si="1"/>
        <v>440.44628897510171</v>
      </c>
      <c r="L38" s="2">
        <f t="shared" si="1"/>
        <v>449.25521475460374</v>
      </c>
      <c r="M38" s="2">
        <f t="shared" si="1"/>
        <v>458.24031904969581</v>
      </c>
      <c r="N38" s="2">
        <f t="shared" si="1"/>
        <v>467.40512543068974</v>
      </c>
      <c r="O38" s="2">
        <f t="shared" si="1"/>
        <v>476.75322793930354</v>
      </c>
      <c r="P38" s="2">
        <f t="shared" si="1"/>
        <v>486.28829249808962</v>
      </c>
      <c r="Q38" s="2">
        <f t="shared" ref="Q38:S39" si="2">P38*(1+$C$13)</f>
        <v>496.01405834805144</v>
      </c>
      <c r="R38" s="2">
        <f t="shared" si="2"/>
        <v>505.93433951501248</v>
      </c>
      <c r="S38" s="2">
        <f t="shared" si="2"/>
        <v>516.05302630531276</v>
      </c>
      <c r="T38" s="2">
        <f t="shared" si="1"/>
        <v>526.37408683141905</v>
      </c>
      <c r="U38" s="2">
        <f t="shared" si="1"/>
        <v>536.90156856804742</v>
      </c>
      <c r="V38" s="2">
        <f t="shared" si="1"/>
        <v>547.63959993940841</v>
      </c>
      <c r="W38" s="2">
        <f t="shared" si="1"/>
        <v>558.59239193819656</v>
      </c>
      <c r="X38" s="2">
        <f t="shared" si="1"/>
        <v>569.76423977696049</v>
      </c>
      <c r="Y38" s="2">
        <f t="shared" si="1"/>
        <v>581.15952457249966</v>
      </c>
      <c r="Z38" s="2">
        <f t="shared" si="1"/>
        <v>592.78271506394969</v>
      </c>
      <c r="AA38" s="2">
        <f t="shared" si="1"/>
        <v>604.63836936522875</v>
      </c>
    </row>
    <row r="39" spans="1:27" x14ac:dyDescent="0.25">
      <c r="A39" t="s">
        <v>15</v>
      </c>
      <c r="C39" s="2">
        <f>(C16-C17)*C11</f>
        <v>105.52083333333333</v>
      </c>
      <c r="D39" s="2">
        <f>C39*(1+$C$13)</f>
        <v>107.63124999999999</v>
      </c>
      <c r="E39" s="2">
        <f t="shared" ref="E39:AA39" si="3">D39*(1+$C$13)</f>
        <v>109.78387499999999</v>
      </c>
      <c r="F39" s="2">
        <f t="shared" si="3"/>
        <v>111.9795525</v>
      </c>
      <c r="G39" s="2">
        <f t="shared" si="3"/>
        <v>114.21914355</v>
      </c>
      <c r="H39" s="2">
        <f t="shared" si="3"/>
        <v>116.503526421</v>
      </c>
      <c r="I39" s="2">
        <f t="shared" si="3"/>
        <v>118.83359694942001</v>
      </c>
      <c r="J39" s="2">
        <f t="shared" si="3"/>
        <v>121.21026888840842</v>
      </c>
      <c r="K39" s="2">
        <f t="shared" si="3"/>
        <v>123.6344742661766</v>
      </c>
      <c r="L39" s="2">
        <f t="shared" si="3"/>
        <v>126.10716375150012</v>
      </c>
      <c r="M39" s="2">
        <f t="shared" si="3"/>
        <v>128.62930702653014</v>
      </c>
      <c r="N39" s="2">
        <f t="shared" si="3"/>
        <v>131.20189316706075</v>
      </c>
      <c r="O39" s="2">
        <f t="shared" si="3"/>
        <v>133.82593103040196</v>
      </c>
      <c r="P39" s="2">
        <f t="shared" si="3"/>
        <v>136.50244965101001</v>
      </c>
      <c r="Q39" s="2">
        <f t="shared" si="2"/>
        <v>139.23249864403022</v>
      </c>
      <c r="R39" s="2">
        <f t="shared" si="2"/>
        <v>142.01714861691082</v>
      </c>
      <c r="S39" s="2">
        <f t="shared" si="2"/>
        <v>144.85749158924904</v>
      </c>
      <c r="T39" s="2">
        <f t="shared" si="3"/>
        <v>147.75464142103402</v>
      </c>
      <c r="U39" s="2">
        <f t="shared" si="3"/>
        <v>150.7097342494547</v>
      </c>
      <c r="V39" s="2">
        <f t="shared" si="3"/>
        <v>153.72392893444379</v>
      </c>
      <c r="W39" s="2">
        <f t="shared" si="3"/>
        <v>156.79840751313267</v>
      </c>
      <c r="X39" s="2">
        <f t="shared" si="3"/>
        <v>159.93437566339534</v>
      </c>
      <c r="Y39" s="2">
        <f t="shared" si="3"/>
        <v>163.13306317666326</v>
      </c>
      <c r="Z39" s="2">
        <f t="shared" si="3"/>
        <v>166.39572444019652</v>
      </c>
      <c r="AA39" s="2">
        <f t="shared" si="3"/>
        <v>169.72363892900046</v>
      </c>
    </row>
    <row r="40" spans="1:27" x14ac:dyDescent="0.25">
      <c r="A40" s="11" t="s">
        <v>30</v>
      </c>
      <c r="B40" s="11"/>
      <c r="C40" s="10">
        <f>C38+C39</f>
        <v>481.43750000000006</v>
      </c>
      <c r="D40" s="10">
        <f t="shared" ref="D40:AA40" si="4">D38+D39</f>
        <v>491.06625000000008</v>
      </c>
      <c r="E40" s="10">
        <f t="shared" si="4"/>
        <v>500.88757500000008</v>
      </c>
      <c r="F40" s="10">
        <f t="shared" si="4"/>
        <v>510.90532650000006</v>
      </c>
      <c r="G40" s="10">
        <f t="shared" si="4"/>
        <v>521.12343303</v>
      </c>
      <c r="H40" s="10">
        <f t="shared" si="4"/>
        <v>531.54590169059998</v>
      </c>
      <c r="I40" s="10">
        <f t="shared" si="4"/>
        <v>542.1768197244121</v>
      </c>
      <c r="J40" s="10">
        <f t="shared" si="4"/>
        <v>553.02035611890028</v>
      </c>
      <c r="K40" s="10">
        <f t="shared" si="4"/>
        <v>564.08076324127831</v>
      </c>
      <c r="L40" s="10">
        <f t="shared" si="4"/>
        <v>575.36237850610382</v>
      </c>
      <c r="M40" s="10">
        <f t="shared" si="4"/>
        <v>586.86962607622593</v>
      </c>
      <c r="N40" s="10">
        <f t="shared" si="4"/>
        <v>598.60701859775054</v>
      </c>
      <c r="O40" s="10">
        <f t="shared" si="4"/>
        <v>610.57915896970553</v>
      </c>
      <c r="P40" s="10">
        <f t="shared" si="4"/>
        <v>622.79074214909963</v>
      </c>
      <c r="Q40" s="10">
        <f t="shared" si="4"/>
        <v>635.24655699208165</v>
      </c>
      <c r="R40" s="10">
        <f t="shared" si="4"/>
        <v>647.95148813192327</v>
      </c>
      <c r="S40" s="10">
        <f t="shared" si="4"/>
        <v>660.91051789456174</v>
      </c>
      <c r="T40" s="10">
        <f t="shared" si="4"/>
        <v>674.12872825245313</v>
      </c>
      <c r="U40" s="10">
        <f t="shared" si="4"/>
        <v>687.61130281750206</v>
      </c>
      <c r="V40" s="10">
        <f t="shared" si="4"/>
        <v>701.36352887385215</v>
      </c>
      <c r="W40" s="10">
        <f t="shared" si="4"/>
        <v>715.39079945132926</v>
      </c>
      <c r="X40" s="10">
        <f t="shared" si="4"/>
        <v>729.69861544035587</v>
      </c>
      <c r="Y40" s="10">
        <f t="shared" si="4"/>
        <v>744.29258774916298</v>
      </c>
      <c r="Z40" s="10">
        <f t="shared" si="4"/>
        <v>759.17843950414624</v>
      </c>
      <c r="AA40" s="10">
        <f t="shared" si="4"/>
        <v>774.36200829422921</v>
      </c>
    </row>
    <row r="41" spans="1:27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t="s">
        <v>33</v>
      </c>
      <c r="C42" s="2">
        <f>C8</f>
        <v>4402.3125</v>
      </c>
      <c r="D42" s="2">
        <f>C42-C51</f>
        <v>4239.6443749999999</v>
      </c>
      <c r="E42" s="2">
        <f t="shared" ref="E42:AA42" si="5">D42-D51</f>
        <v>4065.4014562499997</v>
      </c>
      <c r="F42" s="2">
        <f t="shared" si="5"/>
        <v>3879.1026049374996</v>
      </c>
      <c r="G42" s="2">
        <f t="shared" si="5"/>
        <v>3680.2495701856246</v>
      </c>
      <c r="H42" s="2">
        <f t="shared" si="5"/>
        <v>3468.3264221331933</v>
      </c>
      <c r="I42" s="2">
        <f t="shared" si="5"/>
        <v>3242.798966936029</v>
      </c>
      <c r="J42" s="2">
        <f t="shared" si="5"/>
        <v>3003.1141431257265</v>
      </c>
      <c r="K42" s="2">
        <f t="shared" si="5"/>
        <v>2748.6993987447477</v>
      </c>
      <c r="L42" s="2">
        <f t="shared" si="5"/>
        <v>2478.9620486588442</v>
      </c>
      <c r="M42" s="2">
        <f t="shared" si="5"/>
        <v>2193.2886114293988</v>
      </c>
      <c r="N42" s="2">
        <f t="shared" si="5"/>
        <v>1891.0441251092857</v>
      </c>
      <c r="O42" s="2">
        <f t="shared" si="5"/>
        <v>1571.5714413063092</v>
      </c>
      <c r="P42" s="2">
        <f t="shared" si="5"/>
        <v>1234.1904968381184</v>
      </c>
      <c r="Q42" s="2">
        <f>P42-P51</f>
        <v>878.19756228173424</v>
      </c>
      <c r="R42" s="2">
        <f>Q42-Q51</f>
        <v>502.86446669942802</v>
      </c>
      <c r="S42" s="2">
        <f>R42-R51</f>
        <v>107.43779780063744</v>
      </c>
      <c r="T42" s="2">
        <f t="shared" si="5"/>
        <v>-308.86192322311229</v>
      </c>
      <c r="U42" s="2">
        <f t="shared" si="5"/>
        <v>-746.84109297673012</v>
      </c>
      <c r="V42" s="2">
        <f t="shared" si="5"/>
        <v>-1207.3339040640949</v>
      </c>
      <c r="W42" s="2">
        <f t="shared" si="5"/>
        <v>-1691.2032510500417</v>
      </c>
      <c r="X42" s="2">
        <f t="shared" si="5"/>
        <v>-2199.3416650428476</v>
      </c>
      <c r="Y42" s="2">
        <f t="shared" si="5"/>
        <v>-2732.6722777846635</v>
      </c>
      <c r="Z42" s="2">
        <f t="shared" si="5"/>
        <v>-3292.149816164545</v>
      </c>
      <c r="AA42" s="2">
        <f t="shared" si="5"/>
        <v>-3878.7616280967495</v>
      </c>
    </row>
    <row r="43" spans="1:27" x14ac:dyDescent="0.25">
      <c r="A43" t="s">
        <v>12</v>
      </c>
      <c r="C43" s="2">
        <f>C42*0.03</f>
        <v>132.06937500000001</v>
      </c>
      <c r="D43" s="2">
        <f>D42*0.03</f>
        <v>127.18933125</v>
      </c>
      <c r="E43" s="2">
        <f t="shared" ref="E43:AA43" si="6">E42*0.03</f>
        <v>121.96204368749999</v>
      </c>
      <c r="F43" s="2">
        <f t="shared" si="6"/>
        <v>116.37307814812499</v>
      </c>
      <c r="G43" s="2">
        <f t="shared" si="6"/>
        <v>110.40748710556873</v>
      </c>
      <c r="H43" s="2">
        <f t="shared" si="6"/>
        <v>104.0497926639958</v>
      </c>
      <c r="I43" s="2">
        <f t="shared" si="6"/>
        <v>97.283969008080874</v>
      </c>
      <c r="J43" s="2">
        <f t="shared" si="6"/>
        <v>90.09342429377179</v>
      </c>
      <c r="K43" s="2">
        <f t="shared" si="6"/>
        <v>82.46098196234243</v>
      </c>
      <c r="L43" s="2">
        <f t="shared" si="6"/>
        <v>74.368861459765327</v>
      </c>
      <c r="M43" s="2">
        <f t="shared" si="6"/>
        <v>65.798658342881964</v>
      </c>
      <c r="N43" s="2">
        <f t="shared" si="6"/>
        <v>56.731323753278566</v>
      </c>
      <c r="O43" s="2">
        <f t="shared" si="6"/>
        <v>47.147143239189276</v>
      </c>
      <c r="P43" s="2">
        <f t="shared" si="6"/>
        <v>37.025714905143552</v>
      </c>
      <c r="Q43" s="2">
        <f t="shared" si="6"/>
        <v>26.345926868452025</v>
      </c>
      <c r="R43" s="2">
        <f t="shared" si="6"/>
        <v>15.08593400098284</v>
      </c>
      <c r="S43" s="2">
        <f t="shared" si="6"/>
        <v>3.2231339340191232</v>
      </c>
      <c r="T43" s="2">
        <f t="shared" si="6"/>
        <v>-9.2658576966933683</v>
      </c>
      <c r="U43" s="2">
        <f t="shared" si="6"/>
        <v>-22.405232789301902</v>
      </c>
      <c r="V43" s="2">
        <f t="shared" si="6"/>
        <v>-36.220017121922844</v>
      </c>
      <c r="W43" s="2">
        <f t="shared" si="6"/>
        <v>-50.736097531501251</v>
      </c>
      <c r="X43" s="2">
        <f t="shared" si="6"/>
        <v>-65.98024995128543</v>
      </c>
      <c r="Y43" s="2">
        <f t="shared" si="6"/>
        <v>-81.980168333539908</v>
      </c>
      <c r="Z43" s="2">
        <f t="shared" si="6"/>
        <v>-98.76449448493635</v>
      </c>
      <c r="AA43" s="2">
        <f t="shared" si="6"/>
        <v>-116.36284884290248</v>
      </c>
    </row>
    <row r="44" spans="1:27" x14ac:dyDescent="0.25">
      <c r="A44" t="s">
        <v>16</v>
      </c>
      <c r="C44" s="2">
        <f>C1*3.5</f>
        <v>14.700000000000001</v>
      </c>
      <c r="D44" s="2">
        <f>C44*(1+$C$13)</f>
        <v>14.994000000000002</v>
      </c>
      <c r="E44" s="2">
        <f t="shared" ref="E44:AA44" si="7">D44*(1+$C$13)</f>
        <v>15.293880000000001</v>
      </c>
      <c r="F44" s="2">
        <f t="shared" si="7"/>
        <v>15.599757600000002</v>
      </c>
      <c r="G44" s="2">
        <f t="shared" si="7"/>
        <v>15.911752752000002</v>
      </c>
      <c r="H44" s="2">
        <f t="shared" si="7"/>
        <v>16.229987807040001</v>
      </c>
      <c r="I44" s="2">
        <f t="shared" si="7"/>
        <v>16.554587563180799</v>
      </c>
      <c r="J44" s="2">
        <f t="shared" si="7"/>
        <v>16.885679314444417</v>
      </c>
      <c r="K44" s="2">
        <f t="shared" si="7"/>
        <v>17.223392900733305</v>
      </c>
      <c r="L44" s="2">
        <f t="shared" si="7"/>
        <v>17.567860758747972</v>
      </c>
      <c r="M44" s="2">
        <f t="shared" si="7"/>
        <v>17.919217973922933</v>
      </c>
      <c r="N44" s="2">
        <f t="shared" si="7"/>
        <v>18.277602333401394</v>
      </c>
      <c r="O44" s="2">
        <f t="shared" si="7"/>
        <v>18.643154380069422</v>
      </c>
      <c r="P44" s="2">
        <f t="shared" si="7"/>
        <v>19.01601746767081</v>
      </c>
      <c r="Q44" s="2">
        <f t="shared" ref="Q44:S45" si="8">P44*(1+$C$13)</f>
        <v>19.396337817024225</v>
      </c>
      <c r="R44" s="2">
        <f t="shared" si="8"/>
        <v>19.784264573364709</v>
      </c>
      <c r="S44" s="2">
        <f t="shared" si="8"/>
        <v>20.179949864832004</v>
      </c>
      <c r="T44" s="2">
        <f t="shared" si="7"/>
        <v>20.583548862128644</v>
      </c>
      <c r="U44" s="2">
        <f t="shared" si="7"/>
        <v>20.995219839371217</v>
      </c>
      <c r="V44" s="2">
        <f t="shared" si="7"/>
        <v>21.41512423615864</v>
      </c>
      <c r="W44" s="2">
        <f t="shared" si="7"/>
        <v>21.843426720881812</v>
      </c>
      <c r="X44" s="2">
        <f t="shared" si="7"/>
        <v>22.28029525529945</v>
      </c>
      <c r="Y44" s="2">
        <f t="shared" si="7"/>
        <v>22.725901160405439</v>
      </c>
      <c r="Z44" s="2">
        <f t="shared" si="7"/>
        <v>23.180419183613548</v>
      </c>
      <c r="AA44" s="2">
        <f t="shared" si="7"/>
        <v>23.644027567285818</v>
      </c>
    </row>
    <row r="45" spans="1:27" x14ac:dyDescent="0.25">
      <c r="A45" t="s">
        <v>21</v>
      </c>
      <c r="C45">
        <f>C1*10</f>
        <v>42</v>
      </c>
      <c r="D45" s="2">
        <f>C45*(1+$C$13)</f>
        <v>42.84</v>
      </c>
      <c r="E45" s="2">
        <f t="shared" ref="E45:AA45" si="9">D45*(1+$C$13)</f>
        <v>43.696800000000003</v>
      </c>
      <c r="F45" s="2">
        <f t="shared" si="9"/>
        <v>44.570736000000004</v>
      </c>
      <c r="G45" s="2">
        <f t="shared" si="9"/>
        <v>45.462150720000004</v>
      </c>
      <c r="H45" s="2">
        <f t="shared" si="9"/>
        <v>46.371393734400002</v>
      </c>
      <c r="I45" s="2">
        <f t="shared" si="9"/>
        <v>47.298821609088002</v>
      </c>
      <c r="J45" s="2">
        <f t="shared" si="9"/>
        <v>48.24479804126976</v>
      </c>
      <c r="K45" s="2">
        <f t="shared" si="9"/>
        <v>49.209694002095155</v>
      </c>
      <c r="L45" s="2">
        <f t="shared" si="9"/>
        <v>50.193887882137062</v>
      </c>
      <c r="M45" s="2">
        <f t="shared" si="9"/>
        <v>51.197765639779803</v>
      </c>
      <c r="N45" s="2">
        <f t="shared" si="9"/>
        <v>52.221720952575403</v>
      </c>
      <c r="O45" s="2">
        <f t="shared" si="9"/>
        <v>53.266155371626915</v>
      </c>
      <c r="P45" s="2">
        <f t="shared" si="9"/>
        <v>54.331478479059456</v>
      </c>
      <c r="Q45" s="2">
        <f t="shared" si="8"/>
        <v>55.418108048640647</v>
      </c>
      <c r="R45" s="2">
        <f t="shared" si="8"/>
        <v>56.526470209613464</v>
      </c>
      <c r="S45" s="2">
        <f t="shared" si="8"/>
        <v>57.656999613805738</v>
      </c>
      <c r="T45" s="2">
        <f t="shared" si="9"/>
        <v>58.810139606081854</v>
      </c>
      <c r="U45" s="2">
        <f t="shared" si="9"/>
        <v>59.98634239820349</v>
      </c>
      <c r="V45" s="2">
        <f t="shared" si="9"/>
        <v>61.186069246167563</v>
      </c>
      <c r="W45" s="2">
        <f t="shared" si="9"/>
        <v>62.409790631090914</v>
      </c>
      <c r="X45" s="2">
        <f t="shared" si="9"/>
        <v>63.65798644371273</v>
      </c>
      <c r="Y45" s="2">
        <f t="shared" si="9"/>
        <v>64.931146172586992</v>
      </c>
      <c r="Z45" s="2">
        <f t="shared" si="9"/>
        <v>66.229769096038737</v>
      </c>
      <c r="AA45" s="2">
        <f t="shared" si="9"/>
        <v>67.55436447795951</v>
      </c>
    </row>
    <row r="46" spans="1:27" x14ac:dyDescent="0.25">
      <c r="A46" t="s">
        <v>22</v>
      </c>
      <c r="C46">
        <v>20</v>
      </c>
      <c r="D46">
        <v>20</v>
      </c>
      <c r="E46">
        <v>20</v>
      </c>
      <c r="F46">
        <v>20</v>
      </c>
      <c r="G46">
        <v>20</v>
      </c>
      <c r="H46">
        <v>20</v>
      </c>
      <c r="I46">
        <v>20</v>
      </c>
      <c r="J46">
        <v>20</v>
      </c>
      <c r="K46">
        <v>20</v>
      </c>
      <c r="L46">
        <v>20</v>
      </c>
      <c r="M46">
        <v>20</v>
      </c>
      <c r="N46">
        <v>20</v>
      </c>
      <c r="O46">
        <v>20</v>
      </c>
      <c r="P46">
        <v>20</v>
      </c>
      <c r="Q46">
        <v>20</v>
      </c>
      <c r="R46">
        <v>20</v>
      </c>
      <c r="S46">
        <v>20</v>
      </c>
      <c r="T46">
        <v>20</v>
      </c>
      <c r="U46">
        <v>20</v>
      </c>
      <c r="V46">
        <v>20</v>
      </c>
      <c r="W46">
        <v>20</v>
      </c>
      <c r="X46">
        <v>20</v>
      </c>
      <c r="Y46">
        <v>20</v>
      </c>
      <c r="Z46">
        <v>20</v>
      </c>
      <c r="AA46">
        <v>20</v>
      </c>
    </row>
    <row r="47" spans="1:27" x14ac:dyDescent="0.25">
      <c r="A47" t="s">
        <v>40</v>
      </c>
      <c r="C47">
        <v>20</v>
      </c>
      <c r="D47">
        <v>20</v>
      </c>
      <c r="E47">
        <v>20</v>
      </c>
      <c r="F47">
        <v>20</v>
      </c>
      <c r="G47">
        <v>20</v>
      </c>
      <c r="H47">
        <v>20</v>
      </c>
      <c r="I47">
        <v>20</v>
      </c>
      <c r="J47">
        <v>20</v>
      </c>
      <c r="K47">
        <v>20</v>
      </c>
      <c r="L47">
        <v>20</v>
      </c>
      <c r="M47">
        <v>20</v>
      </c>
      <c r="N47">
        <v>20</v>
      </c>
      <c r="O47">
        <v>20</v>
      </c>
      <c r="P47">
        <v>20</v>
      </c>
      <c r="Q47">
        <v>20</v>
      </c>
      <c r="R47">
        <v>20</v>
      </c>
      <c r="S47">
        <v>20</v>
      </c>
      <c r="T47">
        <v>20</v>
      </c>
      <c r="U47">
        <v>20</v>
      </c>
      <c r="V47">
        <v>20</v>
      </c>
      <c r="W47">
        <v>20</v>
      </c>
      <c r="X47">
        <v>20</v>
      </c>
      <c r="Y47">
        <v>20</v>
      </c>
      <c r="Z47">
        <v>20</v>
      </c>
      <c r="AA47">
        <v>20</v>
      </c>
    </row>
    <row r="48" spans="1:27" x14ac:dyDescent="0.25">
      <c r="A48" t="s">
        <v>31</v>
      </c>
      <c r="C48">
        <f>7.5*12</f>
        <v>90</v>
      </c>
      <c r="D48" s="2">
        <f>C48*(1+$C$13)</f>
        <v>91.8</v>
      </c>
      <c r="E48" s="2">
        <f t="shared" ref="E48:AA48" si="10">D48*(1+$C$13)</f>
        <v>93.635999999999996</v>
      </c>
      <c r="F48" s="2">
        <f t="shared" si="10"/>
        <v>95.508719999999997</v>
      </c>
      <c r="G48" s="2">
        <f t="shared" si="10"/>
        <v>97.418894399999999</v>
      </c>
      <c r="H48" s="2">
        <f t="shared" si="10"/>
        <v>99.367272287999995</v>
      </c>
      <c r="I48" s="2">
        <f t="shared" si="10"/>
        <v>101.35461773375999</v>
      </c>
      <c r="J48" s="2">
        <f t="shared" si="10"/>
        <v>103.3817100884352</v>
      </c>
      <c r="K48" s="2">
        <f t="shared" si="10"/>
        <v>105.44934429020391</v>
      </c>
      <c r="L48" s="2">
        <f t="shared" si="10"/>
        <v>107.558331176008</v>
      </c>
      <c r="M48" s="2">
        <f t="shared" si="10"/>
        <v>109.70949779952817</v>
      </c>
      <c r="N48" s="2">
        <f t="shared" si="10"/>
        <v>111.90368775551873</v>
      </c>
      <c r="O48" s="2">
        <f t="shared" si="10"/>
        <v>114.14176151062911</v>
      </c>
      <c r="P48" s="2">
        <f t="shared" si="10"/>
        <v>116.42459674084169</v>
      </c>
      <c r="Q48" s="2">
        <f>P48*(1+$C$13)</f>
        <v>118.75308867565853</v>
      </c>
      <c r="R48" s="2">
        <f>Q48*(1+$C$13)</f>
        <v>121.1281504491717</v>
      </c>
      <c r="S48" s="2">
        <f>R48*(1+$C$13)</f>
        <v>123.55071345815513</v>
      </c>
      <c r="T48" s="2">
        <f t="shared" si="10"/>
        <v>126.02172772731824</v>
      </c>
      <c r="U48" s="2">
        <f t="shared" si="10"/>
        <v>128.54216228186459</v>
      </c>
      <c r="V48" s="2">
        <f t="shared" si="10"/>
        <v>131.11300552750188</v>
      </c>
      <c r="W48" s="2">
        <f t="shared" si="10"/>
        <v>133.73526563805191</v>
      </c>
      <c r="X48" s="2">
        <f t="shared" si="10"/>
        <v>136.40997095081295</v>
      </c>
      <c r="Y48" s="2">
        <f t="shared" si="10"/>
        <v>139.1381703698292</v>
      </c>
      <c r="Z48" s="2">
        <f t="shared" si="10"/>
        <v>141.92093377722577</v>
      </c>
      <c r="AA48" s="2">
        <f t="shared" si="10"/>
        <v>144.75935245277029</v>
      </c>
    </row>
    <row r="49" spans="1:28" x14ac:dyDescent="0.25">
      <c r="A49" s="11" t="s">
        <v>30</v>
      </c>
      <c r="B49" s="11"/>
      <c r="C49" s="10">
        <f>SUM(C43:C48)</f>
        <v>318.76937499999997</v>
      </c>
      <c r="D49" s="10">
        <f t="shared" ref="D49:AA49" si="11">SUM(D43:D48)</f>
        <v>316.82333125000002</v>
      </c>
      <c r="E49" s="10">
        <f t="shared" si="11"/>
        <v>314.58872368749996</v>
      </c>
      <c r="F49" s="10">
        <f t="shared" si="11"/>
        <v>312.05229174812501</v>
      </c>
      <c r="G49" s="10">
        <f t="shared" si="11"/>
        <v>309.20028497756874</v>
      </c>
      <c r="H49" s="10">
        <f t="shared" si="11"/>
        <v>306.01844649343582</v>
      </c>
      <c r="I49" s="10">
        <f t="shared" si="11"/>
        <v>302.49199591410968</v>
      </c>
      <c r="J49" s="10">
        <f t="shared" si="11"/>
        <v>298.60561173792121</v>
      </c>
      <c r="K49" s="10">
        <f t="shared" si="11"/>
        <v>294.34341315537478</v>
      </c>
      <c r="L49" s="10">
        <f t="shared" si="11"/>
        <v>289.68894127665834</v>
      </c>
      <c r="M49" s="10">
        <f t="shared" si="11"/>
        <v>284.62513975611284</v>
      </c>
      <c r="N49" s="10">
        <f t="shared" si="11"/>
        <v>279.13433479477408</v>
      </c>
      <c r="O49" s="10">
        <f t="shared" si="11"/>
        <v>273.19821450151471</v>
      </c>
      <c r="P49" s="10">
        <f t="shared" si="11"/>
        <v>266.79780759271551</v>
      </c>
      <c r="Q49" s="10">
        <f t="shared" si="11"/>
        <v>259.91346140977544</v>
      </c>
      <c r="R49" s="10">
        <f t="shared" si="11"/>
        <v>252.52481923313272</v>
      </c>
      <c r="S49" s="10">
        <f t="shared" si="11"/>
        <v>244.61079687081201</v>
      </c>
      <c r="T49" s="10">
        <f t="shared" si="11"/>
        <v>236.14955849883535</v>
      </c>
      <c r="U49" s="10">
        <f t="shared" si="11"/>
        <v>227.11849173013741</v>
      </c>
      <c r="V49" s="10">
        <f t="shared" si="11"/>
        <v>217.49418188790526</v>
      </c>
      <c r="W49" s="10">
        <f t="shared" si="11"/>
        <v>207.25238545852341</v>
      </c>
      <c r="X49" s="10">
        <f t="shared" si="11"/>
        <v>196.3680026985397</v>
      </c>
      <c r="Y49" s="10">
        <f t="shared" si="11"/>
        <v>184.81504936928172</v>
      </c>
      <c r="Z49" s="10">
        <f t="shared" si="11"/>
        <v>172.56662757194169</v>
      </c>
      <c r="AA49" s="10">
        <f t="shared" si="11"/>
        <v>159.59489565511313</v>
      </c>
    </row>
    <row r="51" spans="1:28" x14ac:dyDescent="0.25">
      <c r="A51" t="s">
        <v>32</v>
      </c>
      <c r="C51" s="2">
        <f>C40-C49</f>
        <v>162.66812500000009</v>
      </c>
      <c r="D51" s="2">
        <f t="shared" ref="D51:AA51" si="12">D40-D49</f>
        <v>174.24291875000006</v>
      </c>
      <c r="E51" s="2">
        <f t="shared" si="12"/>
        <v>186.29885131250012</v>
      </c>
      <c r="F51" s="2">
        <f t="shared" si="12"/>
        <v>198.85303475187504</v>
      </c>
      <c r="G51" s="2">
        <f t="shared" si="12"/>
        <v>211.92314805243126</v>
      </c>
      <c r="H51" s="2">
        <f t="shared" si="12"/>
        <v>225.52745519716416</v>
      </c>
      <c r="I51" s="2">
        <f t="shared" si="12"/>
        <v>239.68482381030242</v>
      </c>
      <c r="J51" s="2">
        <f t="shared" si="12"/>
        <v>254.41474438097907</v>
      </c>
      <c r="K51" s="2">
        <f t="shared" si="12"/>
        <v>269.73735008590353</v>
      </c>
      <c r="L51" s="2">
        <f t="shared" si="12"/>
        <v>285.67343722944548</v>
      </c>
      <c r="M51" s="2">
        <f t="shared" si="12"/>
        <v>302.24448632011308</v>
      </c>
      <c r="N51" s="2">
        <f t="shared" si="12"/>
        <v>319.47268380297646</v>
      </c>
      <c r="O51" s="2">
        <f t="shared" si="12"/>
        <v>337.38094446819082</v>
      </c>
      <c r="P51" s="2">
        <f t="shared" si="12"/>
        <v>355.99293455638411</v>
      </c>
      <c r="Q51" s="2">
        <f t="shared" si="12"/>
        <v>375.33309558230621</v>
      </c>
      <c r="R51" s="2">
        <f t="shared" si="12"/>
        <v>395.42666889879058</v>
      </c>
      <c r="S51" s="2">
        <f t="shared" si="12"/>
        <v>416.29972102374973</v>
      </c>
      <c r="T51" s="2">
        <f t="shared" si="12"/>
        <v>437.97916975361778</v>
      </c>
      <c r="U51" s="2">
        <f t="shared" si="12"/>
        <v>460.49281108736466</v>
      </c>
      <c r="V51" s="2">
        <f t="shared" si="12"/>
        <v>483.86934698594689</v>
      </c>
      <c r="W51" s="2">
        <f t="shared" si="12"/>
        <v>508.13841399280585</v>
      </c>
      <c r="X51" s="2">
        <f t="shared" si="12"/>
        <v>533.33061274181614</v>
      </c>
      <c r="Y51" s="2">
        <f t="shared" si="12"/>
        <v>559.47753837988125</v>
      </c>
      <c r="Z51" s="2">
        <f t="shared" si="12"/>
        <v>586.61181193220455</v>
      </c>
      <c r="AA51" s="2">
        <f t="shared" si="12"/>
        <v>614.76711263911602</v>
      </c>
      <c r="AB51" s="10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D825-AD19-4887-9AA4-4B3AC325C4F3}">
  <dimension ref="A1:AD40"/>
  <sheetViews>
    <sheetView workbookViewId="0">
      <selection activeCell="AD18" sqref="AD18"/>
    </sheetView>
  </sheetViews>
  <sheetFormatPr defaultRowHeight="15" x14ac:dyDescent="0.25"/>
  <cols>
    <col min="1" max="1" width="40.140625" customWidth="1"/>
    <col min="2" max="2" width="2" customWidth="1"/>
    <col min="16" max="16" width="8.85546875" hidden="1" customWidth="1"/>
    <col min="17" max="27" width="9.140625" hidden="1" customWidth="1"/>
    <col min="28" max="28" width="21.140625" customWidth="1"/>
  </cols>
  <sheetData>
    <row r="1" spans="1:30" x14ac:dyDescent="0.25">
      <c r="A1" t="s">
        <v>0</v>
      </c>
      <c r="C1">
        <v>4.2</v>
      </c>
    </row>
    <row r="2" spans="1:30" x14ac:dyDescent="0.25">
      <c r="A2" t="s">
        <v>1</v>
      </c>
      <c r="C2">
        <v>950</v>
      </c>
    </row>
    <row r="3" spans="1:30" x14ac:dyDescent="0.25">
      <c r="A3" t="s">
        <v>2</v>
      </c>
      <c r="C3">
        <v>2.9</v>
      </c>
    </row>
    <row r="4" spans="1:30" x14ac:dyDescent="0.25">
      <c r="A4" t="s">
        <v>3</v>
      </c>
      <c r="C4">
        <v>25</v>
      </c>
      <c r="AC4" s="2"/>
    </row>
    <row r="5" spans="1:30" x14ac:dyDescent="0.25">
      <c r="A5" t="s">
        <v>47</v>
      </c>
      <c r="C5" s="2">
        <f>3770+(((C1-2.1)/0.3)*52.5)</f>
        <v>4137.5</v>
      </c>
    </row>
    <row r="6" spans="1:30" x14ac:dyDescent="0.25">
      <c r="A6" t="s">
        <v>26</v>
      </c>
      <c r="C6" s="2">
        <v>0</v>
      </c>
      <c r="AC6" s="2"/>
      <c r="AD6" s="1"/>
    </row>
    <row r="7" spans="1:30" x14ac:dyDescent="0.25">
      <c r="A7" t="s">
        <v>18</v>
      </c>
      <c r="C7">
        <v>0</v>
      </c>
      <c r="AC7" s="2"/>
      <c r="AD7" s="1"/>
    </row>
    <row r="8" spans="1:30" x14ac:dyDescent="0.25">
      <c r="A8" t="s">
        <v>46</v>
      </c>
      <c r="C8" s="2">
        <f>C5+C6+C7</f>
        <v>4137.5</v>
      </c>
      <c r="AC8" s="2"/>
      <c r="AD8" s="1"/>
    </row>
    <row r="9" spans="1:30" x14ac:dyDescent="0.25">
      <c r="A9" t="s">
        <v>44</v>
      </c>
      <c r="C9">
        <v>0.16</v>
      </c>
      <c r="AC9" s="2"/>
      <c r="AD9" s="1"/>
    </row>
    <row r="10" spans="1:30" x14ac:dyDescent="0.25">
      <c r="A10" t="s">
        <v>45</v>
      </c>
      <c r="C10">
        <v>0.16</v>
      </c>
      <c r="AC10" s="2"/>
      <c r="AD10" s="1"/>
    </row>
    <row r="11" spans="1:30" x14ac:dyDescent="0.25">
      <c r="A11" t="s">
        <v>10</v>
      </c>
      <c r="C11">
        <v>0.05</v>
      </c>
      <c r="AC11" s="2"/>
      <c r="AD11" s="1"/>
    </row>
    <row r="12" spans="1:30" x14ac:dyDescent="0.25">
      <c r="A12" t="s">
        <v>9</v>
      </c>
      <c r="C12" s="1">
        <v>0.25</v>
      </c>
    </row>
    <row r="13" spans="1:30" x14ac:dyDescent="0.25">
      <c r="A13" t="s">
        <v>29</v>
      </c>
      <c r="C13" s="9">
        <v>0.02</v>
      </c>
    </row>
    <row r="16" spans="1:30" x14ac:dyDescent="0.25">
      <c r="A16" t="s">
        <v>5</v>
      </c>
      <c r="C16">
        <f>C1*C2</f>
        <v>3990</v>
      </c>
    </row>
    <row r="17" spans="1:27" x14ac:dyDescent="0.25">
      <c r="A17" t="s">
        <v>6</v>
      </c>
      <c r="C17" s="2">
        <f>(C16*C12)+C18</f>
        <v>1879.5833333333335</v>
      </c>
    </row>
    <row r="18" spans="1:27" x14ac:dyDescent="0.25">
      <c r="A18" s="3" t="s">
        <v>7</v>
      </c>
      <c r="B18" s="3"/>
      <c r="C18" s="4">
        <f>((10/12)*365)*C3</f>
        <v>882.08333333333337</v>
      </c>
      <c r="D18" t="s">
        <v>43</v>
      </c>
    </row>
    <row r="19" spans="1:27" x14ac:dyDescent="0.25">
      <c r="A19" t="s">
        <v>8</v>
      </c>
      <c r="C19" s="1">
        <f>C17/C16</f>
        <v>0.47107351712614876</v>
      </c>
    </row>
    <row r="22" spans="1:27" x14ac:dyDescent="0.25">
      <c r="A22" s="11" t="s">
        <v>34</v>
      </c>
      <c r="B22" s="11"/>
      <c r="C22" s="11">
        <v>1</v>
      </c>
      <c r="D22" s="11">
        <v>2</v>
      </c>
      <c r="E22" s="11">
        <v>3</v>
      </c>
      <c r="F22" s="11">
        <v>4</v>
      </c>
      <c r="G22" s="11">
        <v>5</v>
      </c>
      <c r="H22" s="11">
        <v>6</v>
      </c>
      <c r="I22" s="11">
        <v>7</v>
      </c>
      <c r="J22" s="11">
        <v>8</v>
      </c>
      <c r="K22" s="11">
        <v>9</v>
      </c>
      <c r="L22" s="11">
        <v>10</v>
      </c>
      <c r="M22" s="11">
        <v>11</v>
      </c>
      <c r="N22" s="11">
        <v>12</v>
      </c>
      <c r="O22" s="11">
        <v>13</v>
      </c>
      <c r="P22" s="11">
        <v>14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  <c r="X22" s="11">
        <v>22</v>
      </c>
      <c r="Y22" s="11">
        <v>23</v>
      </c>
      <c r="Z22" s="11">
        <v>24</v>
      </c>
      <c r="AA22" s="11">
        <v>25</v>
      </c>
    </row>
    <row r="23" spans="1:27" x14ac:dyDescent="0.25">
      <c r="A23" t="s">
        <v>14</v>
      </c>
      <c r="C23" s="2">
        <f>C17*C10</f>
        <v>300.73333333333335</v>
      </c>
      <c r="D23" s="2">
        <f>C23*(1+$C$13)</f>
        <v>306.74800000000005</v>
      </c>
      <c r="E23" s="2">
        <f t="shared" ref="E23:T24" si="0">D23*(1+$C$13)</f>
        <v>312.88296000000003</v>
      </c>
      <c r="F23" s="2">
        <f t="shared" si="0"/>
        <v>319.1406192</v>
      </c>
      <c r="G23" s="2">
        <f t="shared" si="0"/>
        <v>325.52343158400004</v>
      </c>
      <c r="H23" s="2">
        <f t="shared" si="0"/>
        <v>332.03390021568003</v>
      </c>
      <c r="I23" s="2">
        <f t="shared" si="0"/>
        <v>338.67457821999363</v>
      </c>
      <c r="J23" s="2">
        <f t="shared" si="0"/>
        <v>345.44806978439351</v>
      </c>
      <c r="K23" s="2">
        <f t="shared" si="0"/>
        <v>352.35703118008138</v>
      </c>
      <c r="L23" s="2">
        <f t="shared" si="0"/>
        <v>359.40417180368303</v>
      </c>
      <c r="M23" s="2">
        <f t="shared" si="0"/>
        <v>366.5922552397567</v>
      </c>
      <c r="N23" s="2">
        <f t="shared" si="0"/>
        <v>373.92410034455185</v>
      </c>
      <c r="O23" s="2">
        <f t="shared" si="0"/>
        <v>381.4025823514429</v>
      </c>
      <c r="P23" s="2">
        <f t="shared" si="0"/>
        <v>389.03063399847179</v>
      </c>
      <c r="Q23" s="2">
        <f t="shared" si="0"/>
        <v>396.81124667844125</v>
      </c>
      <c r="R23" s="2">
        <f t="shared" si="0"/>
        <v>404.74747161201009</v>
      </c>
      <c r="S23" s="2">
        <f t="shared" si="0"/>
        <v>412.84242104425027</v>
      </c>
      <c r="T23" s="2">
        <f t="shared" si="0"/>
        <v>421.09926946513531</v>
      </c>
      <c r="U23" s="2">
        <f t="shared" ref="U23:AA24" si="1">T23*(1+$C$13)</f>
        <v>429.52125485443804</v>
      </c>
      <c r="V23" s="2">
        <f t="shared" si="1"/>
        <v>438.11167995152681</v>
      </c>
      <c r="W23" s="2">
        <f t="shared" si="1"/>
        <v>446.87391355055735</v>
      </c>
      <c r="X23" s="2">
        <f t="shared" si="1"/>
        <v>455.81139182156852</v>
      </c>
      <c r="Y23" s="2">
        <f t="shared" si="1"/>
        <v>464.92761965799991</v>
      </c>
      <c r="Z23" s="2">
        <f t="shared" si="1"/>
        <v>474.22617205115989</v>
      </c>
      <c r="AA23" s="2">
        <f t="shared" si="1"/>
        <v>483.71069549218311</v>
      </c>
    </row>
    <row r="24" spans="1:27" x14ac:dyDescent="0.25">
      <c r="A24" t="s">
        <v>15</v>
      </c>
      <c r="C24" s="2">
        <f>(C16-C17)*C11</f>
        <v>105.52083333333333</v>
      </c>
      <c r="D24" s="2">
        <f>C24*(1+$C$13)</f>
        <v>107.63124999999999</v>
      </c>
      <c r="E24" s="2">
        <f t="shared" si="0"/>
        <v>109.78387499999999</v>
      </c>
      <c r="F24" s="2">
        <f t="shared" si="0"/>
        <v>111.9795525</v>
      </c>
      <c r="G24" s="2">
        <f t="shared" si="0"/>
        <v>114.21914355</v>
      </c>
      <c r="H24" s="2">
        <f t="shared" si="0"/>
        <v>116.503526421</v>
      </c>
      <c r="I24" s="2">
        <f t="shared" si="0"/>
        <v>118.83359694942001</v>
      </c>
      <c r="J24" s="2">
        <f t="shared" si="0"/>
        <v>121.21026888840842</v>
      </c>
      <c r="K24" s="2">
        <f t="shared" si="0"/>
        <v>123.6344742661766</v>
      </c>
      <c r="L24" s="2">
        <f t="shared" si="0"/>
        <v>126.10716375150012</v>
      </c>
      <c r="M24" s="2">
        <f t="shared" si="0"/>
        <v>128.62930702653014</v>
      </c>
      <c r="N24" s="2">
        <f t="shared" si="0"/>
        <v>131.20189316706075</v>
      </c>
      <c r="O24" s="2">
        <f t="shared" si="0"/>
        <v>133.82593103040196</v>
      </c>
      <c r="P24" s="2">
        <f t="shared" si="0"/>
        <v>136.50244965101001</v>
      </c>
      <c r="Q24" s="2">
        <f t="shared" si="0"/>
        <v>139.23249864403022</v>
      </c>
      <c r="R24" s="2">
        <f t="shared" si="0"/>
        <v>142.01714861691082</v>
      </c>
      <c r="S24" s="2">
        <f t="shared" si="0"/>
        <v>144.85749158924904</v>
      </c>
      <c r="T24" s="2">
        <f t="shared" si="0"/>
        <v>147.75464142103402</v>
      </c>
      <c r="U24" s="2">
        <f t="shared" si="1"/>
        <v>150.7097342494547</v>
      </c>
      <c r="V24" s="2">
        <f t="shared" si="1"/>
        <v>153.72392893444379</v>
      </c>
      <c r="W24" s="2">
        <f t="shared" si="1"/>
        <v>156.79840751313267</v>
      </c>
      <c r="X24" s="2">
        <f t="shared" si="1"/>
        <v>159.93437566339534</v>
      </c>
      <c r="Y24" s="2">
        <f t="shared" si="1"/>
        <v>163.13306317666326</v>
      </c>
      <c r="Z24" s="2">
        <f t="shared" si="1"/>
        <v>166.39572444019652</v>
      </c>
      <c r="AA24" s="2">
        <f t="shared" si="1"/>
        <v>169.72363892900046</v>
      </c>
    </row>
    <row r="25" spans="1:27" x14ac:dyDescent="0.25">
      <c r="A25" s="11" t="s">
        <v>30</v>
      </c>
      <c r="B25" s="11"/>
      <c r="C25" s="10">
        <f>C23+C24</f>
        <v>406.25416666666666</v>
      </c>
      <c r="D25" s="10">
        <f t="shared" ref="D25:AA25" si="2">D23+D24</f>
        <v>414.37925000000007</v>
      </c>
      <c r="E25" s="10">
        <f t="shared" si="2"/>
        <v>422.66683499999999</v>
      </c>
      <c r="F25" s="10">
        <f t="shared" si="2"/>
        <v>431.12017170000001</v>
      </c>
      <c r="G25" s="10">
        <f t="shared" si="2"/>
        <v>439.74257513400005</v>
      </c>
      <c r="H25" s="10">
        <f t="shared" si="2"/>
        <v>448.53742663668004</v>
      </c>
      <c r="I25" s="10">
        <f t="shared" si="2"/>
        <v>457.50817516941368</v>
      </c>
      <c r="J25" s="10">
        <f t="shared" si="2"/>
        <v>466.65833867280196</v>
      </c>
      <c r="K25" s="10">
        <f t="shared" si="2"/>
        <v>475.99150544625797</v>
      </c>
      <c r="L25" s="10">
        <f t="shared" si="2"/>
        <v>485.51133555518317</v>
      </c>
      <c r="M25" s="10">
        <f t="shared" si="2"/>
        <v>495.22156226628681</v>
      </c>
      <c r="N25" s="10">
        <f t="shared" si="2"/>
        <v>505.12599351161259</v>
      </c>
      <c r="O25" s="10">
        <f t="shared" si="2"/>
        <v>515.22851338184489</v>
      </c>
      <c r="P25" s="10">
        <f t="shared" si="2"/>
        <v>525.5330836494818</v>
      </c>
      <c r="Q25" s="10">
        <f t="shared" si="2"/>
        <v>536.04374532247152</v>
      </c>
      <c r="R25" s="10">
        <f t="shared" si="2"/>
        <v>546.76462022892088</v>
      </c>
      <c r="S25" s="10">
        <f t="shared" si="2"/>
        <v>557.69991263349925</v>
      </c>
      <c r="T25" s="10">
        <f t="shared" si="2"/>
        <v>568.85391088616939</v>
      </c>
      <c r="U25" s="10">
        <f t="shared" si="2"/>
        <v>580.23098910389274</v>
      </c>
      <c r="V25" s="10">
        <f t="shared" si="2"/>
        <v>591.8356088859706</v>
      </c>
      <c r="W25" s="10">
        <f t="shared" si="2"/>
        <v>603.67232106368999</v>
      </c>
      <c r="X25" s="10">
        <f t="shared" si="2"/>
        <v>615.74576748496384</v>
      </c>
      <c r="Y25" s="10">
        <f t="shared" si="2"/>
        <v>628.06068283466311</v>
      </c>
      <c r="Z25" s="10">
        <f t="shared" si="2"/>
        <v>640.62189649135644</v>
      </c>
      <c r="AA25" s="10">
        <f t="shared" si="2"/>
        <v>653.43433442118362</v>
      </c>
    </row>
    <row r="26" spans="1:27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t="s">
        <v>33</v>
      </c>
      <c r="C27" s="2">
        <f>C8</f>
        <v>4137.5</v>
      </c>
      <c r="D27" s="2">
        <f>C27-C35</f>
        <v>3875.3708333333334</v>
      </c>
      <c r="E27" s="2">
        <f t="shared" ref="E27:AA27" si="3">D27-D35</f>
        <v>3597.2527083333334</v>
      </c>
      <c r="F27" s="2">
        <f t="shared" si="3"/>
        <v>3302.5034545833332</v>
      </c>
      <c r="G27" s="2">
        <f t="shared" si="3"/>
        <v>2990.4583865208333</v>
      </c>
      <c r="H27" s="2">
        <f t="shared" si="3"/>
        <v>2660.4295629824583</v>
      </c>
      <c r="I27" s="2">
        <f t="shared" si="3"/>
        <v>2311.7050232352522</v>
      </c>
      <c r="J27" s="2">
        <f t="shared" si="3"/>
        <v>1943.547998762896</v>
      </c>
      <c r="K27" s="2">
        <f t="shared" si="3"/>
        <v>1555.1961000529809</v>
      </c>
      <c r="L27" s="2">
        <f t="shared" si="3"/>
        <v>1145.8604776083123</v>
      </c>
      <c r="M27" s="2">
        <f t="shared" si="3"/>
        <v>714.72495638137843</v>
      </c>
      <c r="N27" s="2">
        <f t="shared" si="3"/>
        <v>260.945142806533</v>
      </c>
      <c r="O27" s="2">
        <v>0</v>
      </c>
      <c r="P27" s="2">
        <v>0</v>
      </c>
      <c r="Q27" s="2">
        <f>P27-P35</f>
        <v>0</v>
      </c>
      <c r="R27" s="2">
        <f>Q27-Q35</f>
        <v>0</v>
      </c>
      <c r="S27" s="2">
        <f>R27-R35</f>
        <v>0</v>
      </c>
      <c r="T27" s="2">
        <f t="shared" si="3"/>
        <v>0</v>
      </c>
      <c r="U27" s="2">
        <f t="shared" si="3"/>
        <v>0</v>
      </c>
      <c r="V27" s="2">
        <f t="shared" si="3"/>
        <v>0</v>
      </c>
      <c r="W27" s="2">
        <f t="shared" si="3"/>
        <v>0</v>
      </c>
      <c r="X27" s="2">
        <f t="shared" si="3"/>
        <v>0</v>
      </c>
      <c r="Y27" s="2">
        <f t="shared" si="3"/>
        <v>0</v>
      </c>
      <c r="Z27" s="2">
        <f t="shared" si="3"/>
        <v>0</v>
      </c>
      <c r="AA27" s="2">
        <f t="shared" si="3"/>
        <v>0</v>
      </c>
    </row>
    <row r="28" spans="1:27" x14ac:dyDescent="0.25">
      <c r="A28" t="s">
        <v>12</v>
      </c>
      <c r="C28" s="2">
        <f>C27*0.03</f>
        <v>124.125</v>
      </c>
      <c r="D28" s="2">
        <f>D27*0.03</f>
        <v>116.26112499999999</v>
      </c>
      <c r="E28" s="2">
        <f t="shared" ref="E28:AA28" si="4">E27*0.03</f>
        <v>107.91758125</v>
      </c>
      <c r="F28" s="2">
        <f t="shared" si="4"/>
        <v>99.075103637499993</v>
      </c>
      <c r="G28" s="2">
        <f t="shared" si="4"/>
        <v>89.713751595624998</v>
      </c>
      <c r="H28" s="2">
        <f t="shared" si="4"/>
        <v>79.812886889473745</v>
      </c>
      <c r="I28" s="2">
        <f t="shared" si="4"/>
        <v>69.351150697057562</v>
      </c>
      <c r="J28" s="2">
        <f t="shared" si="4"/>
        <v>58.306439962886877</v>
      </c>
      <c r="K28" s="2">
        <f t="shared" si="4"/>
        <v>46.655883001589423</v>
      </c>
      <c r="L28" s="2">
        <f t="shared" si="4"/>
        <v>34.375814328249369</v>
      </c>
      <c r="M28" s="2">
        <f t="shared" si="4"/>
        <v>21.441748691441351</v>
      </c>
      <c r="N28" s="2">
        <f t="shared" si="4"/>
        <v>7.8283542841959894</v>
      </c>
      <c r="O28" s="2">
        <f t="shared" si="4"/>
        <v>0</v>
      </c>
      <c r="P28" s="2">
        <f t="shared" si="4"/>
        <v>0</v>
      </c>
      <c r="Q28" s="2">
        <f t="shared" si="4"/>
        <v>0</v>
      </c>
      <c r="R28" s="2">
        <f t="shared" si="4"/>
        <v>0</v>
      </c>
      <c r="S28" s="2">
        <f t="shared" si="4"/>
        <v>0</v>
      </c>
      <c r="T28" s="2">
        <f t="shared" si="4"/>
        <v>0</v>
      </c>
      <c r="U28" s="2">
        <f t="shared" si="4"/>
        <v>0</v>
      </c>
      <c r="V28" s="2">
        <f t="shared" si="4"/>
        <v>0</v>
      </c>
      <c r="W28" s="2">
        <f t="shared" si="4"/>
        <v>0</v>
      </c>
      <c r="X28" s="2">
        <f t="shared" si="4"/>
        <v>0</v>
      </c>
      <c r="Y28" s="2">
        <f t="shared" si="4"/>
        <v>0</v>
      </c>
      <c r="Z28" s="2">
        <f t="shared" si="4"/>
        <v>0</v>
      </c>
      <c r="AA28" s="2">
        <f t="shared" si="4"/>
        <v>0</v>
      </c>
    </row>
    <row r="29" spans="1:27" hidden="1" x14ac:dyDescent="0.25">
      <c r="A29" t="s">
        <v>16</v>
      </c>
      <c r="C29" s="2">
        <v>0</v>
      </c>
      <c r="D29" s="2">
        <f>C29*(1+$C$13)</f>
        <v>0</v>
      </c>
      <c r="E29" s="2">
        <f t="shared" ref="E29:T30" si="5">D29*(1+$C$13)</f>
        <v>0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0</v>
      </c>
      <c r="J29" s="2">
        <f t="shared" si="5"/>
        <v>0</v>
      </c>
      <c r="K29" s="2">
        <f t="shared" si="5"/>
        <v>0</v>
      </c>
      <c r="L29" s="2">
        <f t="shared" si="5"/>
        <v>0</v>
      </c>
      <c r="M29" s="2">
        <f t="shared" si="5"/>
        <v>0</v>
      </c>
      <c r="N29" s="2">
        <f t="shared" si="5"/>
        <v>0</v>
      </c>
      <c r="O29" s="2">
        <f t="shared" si="5"/>
        <v>0</v>
      </c>
      <c r="P29" s="2">
        <f t="shared" si="5"/>
        <v>0</v>
      </c>
      <c r="Q29" s="2">
        <f t="shared" si="5"/>
        <v>0</v>
      </c>
      <c r="R29" s="2">
        <f t="shared" si="5"/>
        <v>0</v>
      </c>
      <c r="S29" s="2">
        <f t="shared" si="5"/>
        <v>0</v>
      </c>
      <c r="T29" s="2">
        <f t="shared" si="5"/>
        <v>0</v>
      </c>
      <c r="U29" s="2">
        <f t="shared" ref="U29:AA30" si="6">T29*(1+$C$13)</f>
        <v>0</v>
      </c>
      <c r="V29" s="2">
        <f t="shared" si="6"/>
        <v>0</v>
      </c>
      <c r="W29" s="2">
        <f t="shared" si="6"/>
        <v>0</v>
      </c>
      <c r="X29" s="2">
        <f t="shared" si="6"/>
        <v>0</v>
      </c>
      <c r="Y29" s="2">
        <f t="shared" si="6"/>
        <v>0</v>
      </c>
      <c r="Z29" s="2">
        <f t="shared" si="6"/>
        <v>0</v>
      </c>
      <c r="AA29" s="2">
        <f t="shared" si="6"/>
        <v>0</v>
      </c>
    </row>
    <row r="30" spans="1:27" hidden="1" x14ac:dyDescent="0.25">
      <c r="A30" t="s">
        <v>21</v>
      </c>
      <c r="C30">
        <v>0</v>
      </c>
      <c r="D30" s="2">
        <f>C30*(1+$C$13)</f>
        <v>0</v>
      </c>
      <c r="E30" s="2">
        <f t="shared" si="5"/>
        <v>0</v>
      </c>
      <c r="F30" s="2">
        <f t="shared" si="5"/>
        <v>0</v>
      </c>
      <c r="G30" s="2">
        <f t="shared" si="5"/>
        <v>0</v>
      </c>
      <c r="H30" s="2">
        <f t="shared" si="5"/>
        <v>0</v>
      </c>
      <c r="I30" s="2">
        <f t="shared" si="5"/>
        <v>0</v>
      </c>
      <c r="J30" s="2">
        <f t="shared" si="5"/>
        <v>0</v>
      </c>
      <c r="K30" s="2">
        <f t="shared" si="5"/>
        <v>0</v>
      </c>
      <c r="L30" s="2">
        <f t="shared" si="5"/>
        <v>0</v>
      </c>
      <c r="M30" s="2">
        <f t="shared" si="5"/>
        <v>0</v>
      </c>
      <c r="N30" s="2">
        <f t="shared" si="5"/>
        <v>0</v>
      </c>
      <c r="O30" s="2">
        <f t="shared" si="5"/>
        <v>0</v>
      </c>
      <c r="P30" s="2">
        <f t="shared" si="5"/>
        <v>0</v>
      </c>
      <c r="Q30" s="2">
        <f t="shared" si="5"/>
        <v>0</v>
      </c>
      <c r="R30" s="2">
        <f t="shared" si="5"/>
        <v>0</v>
      </c>
      <c r="S30" s="2">
        <f t="shared" si="5"/>
        <v>0</v>
      </c>
      <c r="T30" s="2">
        <f t="shared" si="5"/>
        <v>0</v>
      </c>
      <c r="U30" s="2">
        <f t="shared" si="6"/>
        <v>0</v>
      </c>
      <c r="V30" s="2">
        <f t="shared" si="6"/>
        <v>0</v>
      </c>
      <c r="W30" s="2">
        <f t="shared" si="6"/>
        <v>0</v>
      </c>
      <c r="X30" s="2">
        <f t="shared" si="6"/>
        <v>0</v>
      </c>
      <c r="Y30" s="2">
        <f t="shared" si="6"/>
        <v>0</v>
      </c>
      <c r="Z30" s="2">
        <f t="shared" si="6"/>
        <v>0</v>
      </c>
      <c r="AA30" s="2">
        <f t="shared" si="6"/>
        <v>0</v>
      </c>
    </row>
    <row r="31" spans="1:27" hidden="1" x14ac:dyDescent="0.25">
      <c r="A31" t="s">
        <v>22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x14ac:dyDescent="0.25">
      <c r="A32" t="s">
        <v>40</v>
      </c>
      <c r="C32">
        <v>20</v>
      </c>
      <c r="D32" s="2">
        <v>20</v>
      </c>
      <c r="E32">
        <v>20</v>
      </c>
      <c r="F32" s="2">
        <v>20</v>
      </c>
      <c r="G32">
        <v>20</v>
      </c>
      <c r="H32" s="2">
        <v>20</v>
      </c>
      <c r="I32">
        <v>20</v>
      </c>
      <c r="J32" s="2">
        <v>20</v>
      </c>
      <c r="K32">
        <v>20</v>
      </c>
      <c r="L32" s="2">
        <v>20</v>
      </c>
      <c r="M32">
        <v>20</v>
      </c>
      <c r="N32" s="2">
        <v>20</v>
      </c>
      <c r="O32">
        <v>20</v>
      </c>
      <c r="P32" s="2">
        <v>20</v>
      </c>
      <c r="Q32">
        <v>20</v>
      </c>
      <c r="R32" s="2">
        <v>20</v>
      </c>
      <c r="S32">
        <v>20</v>
      </c>
      <c r="T32" s="2">
        <v>20</v>
      </c>
      <c r="U32">
        <v>20</v>
      </c>
      <c r="V32" s="2">
        <v>20</v>
      </c>
      <c r="W32">
        <v>20</v>
      </c>
      <c r="X32" s="2">
        <v>20</v>
      </c>
      <c r="Y32">
        <v>20</v>
      </c>
      <c r="Z32" s="2">
        <v>20</v>
      </c>
      <c r="AA32">
        <v>20</v>
      </c>
    </row>
    <row r="33" spans="1:28" x14ac:dyDescent="0.25">
      <c r="A33" s="11" t="s">
        <v>30</v>
      </c>
      <c r="B33" s="11"/>
      <c r="C33" s="10">
        <f>SUM(C28:C32)</f>
        <v>144.125</v>
      </c>
      <c r="D33" s="10">
        <f t="shared" ref="D33:AA33" si="7">SUM(D28:D32)</f>
        <v>136.26112499999999</v>
      </c>
      <c r="E33" s="10">
        <f t="shared" si="7"/>
        <v>127.91758125</v>
      </c>
      <c r="F33" s="10">
        <f t="shared" si="7"/>
        <v>119.07510363749999</v>
      </c>
      <c r="G33" s="10">
        <f t="shared" si="7"/>
        <v>109.713751595625</v>
      </c>
      <c r="H33" s="10">
        <f t="shared" si="7"/>
        <v>99.812886889473745</v>
      </c>
      <c r="I33" s="10">
        <f t="shared" si="7"/>
        <v>89.351150697057562</v>
      </c>
      <c r="J33" s="10">
        <f t="shared" si="7"/>
        <v>78.306439962886884</v>
      </c>
      <c r="K33" s="10">
        <f t="shared" si="7"/>
        <v>66.655883001589416</v>
      </c>
      <c r="L33" s="10">
        <f t="shared" si="7"/>
        <v>54.375814328249369</v>
      </c>
      <c r="M33" s="10">
        <f t="shared" si="7"/>
        <v>41.441748691441347</v>
      </c>
      <c r="N33" s="10">
        <f t="shared" si="7"/>
        <v>27.828354284195989</v>
      </c>
      <c r="O33" s="10">
        <f t="shared" si="7"/>
        <v>20</v>
      </c>
      <c r="P33" s="10">
        <f t="shared" si="7"/>
        <v>20</v>
      </c>
      <c r="Q33" s="10">
        <f t="shared" si="7"/>
        <v>20</v>
      </c>
      <c r="R33" s="10">
        <f t="shared" si="7"/>
        <v>20</v>
      </c>
      <c r="S33" s="10">
        <f t="shared" si="7"/>
        <v>20</v>
      </c>
      <c r="T33" s="10">
        <f t="shared" si="7"/>
        <v>20</v>
      </c>
      <c r="U33" s="10">
        <f t="shared" si="7"/>
        <v>20</v>
      </c>
      <c r="V33" s="10">
        <f t="shared" si="7"/>
        <v>20</v>
      </c>
      <c r="W33" s="10">
        <f t="shared" si="7"/>
        <v>20</v>
      </c>
      <c r="X33" s="10">
        <f t="shared" si="7"/>
        <v>20</v>
      </c>
      <c r="Y33" s="10">
        <f t="shared" si="7"/>
        <v>20</v>
      </c>
      <c r="Z33" s="10">
        <f t="shared" si="7"/>
        <v>20</v>
      </c>
      <c r="AA33" s="10">
        <f t="shared" si="7"/>
        <v>20</v>
      </c>
    </row>
    <row r="35" spans="1:28" x14ac:dyDescent="0.25">
      <c r="A35" t="s">
        <v>38</v>
      </c>
      <c r="C35" s="2">
        <f>C25-C33</f>
        <v>262.12916666666666</v>
      </c>
      <c r="D35" s="2">
        <f t="shared" ref="D35:N35" si="8">D25-D33</f>
        <v>278.11812500000008</v>
      </c>
      <c r="E35" s="2">
        <f t="shared" si="8"/>
        <v>294.74925374999998</v>
      </c>
      <c r="F35" s="2">
        <f t="shared" si="8"/>
        <v>312.04506806250004</v>
      </c>
      <c r="G35" s="2">
        <f t="shared" si="8"/>
        <v>330.02882353837504</v>
      </c>
      <c r="H35" s="2">
        <f t="shared" si="8"/>
        <v>348.72453974720628</v>
      </c>
      <c r="I35" s="2">
        <f t="shared" si="8"/>
        <v>368.15702447235611</v>
      </c>
      <c r="J35" s="2">
        <f t="shared" si="8"/>
        <v>388.35189870991508</v>
      </c>
      <c r="K35" s="2">
        <f t="shared" si="8"/>
        <v>409.33562244466856</v>
      </c>
      <c r="L35" s="2">
        <f t="shared" si="8"/>
        <v>431.1355212269338</v>
      </c>
      <c r="M35" s="2">
        <f t="shared" si="8"/>
        <v>453.77981357484543</v>
      </c>
      <c r="N35" s="2">
        <f t="shared" si="8"/>
        <v>477.2976392274166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10"/>
    </row>
    <row r="37" spans="1:28" x14ac:dyDescent="0.25">
      <c r="A37" t="s">
        <v>39</v>
      </c>
      <c r="C37" s="2">
        <f>C17*C9</f>
        <v>300.73333333333335</v>
      </c>
      <c r="D37" s="2">
        <f>C37*(1+$C$13)</f>
        <v>306.74800000000005</v>
      </c>
      <c r="E37" s="2">
        <f t="shared" ref="E37:AA37" si="9">D37*(1+$C$13)</f>
        <v>312.88296000000003</v>
      </c>
      <c r="F37" s="2">
        <f t="shared" si="9"/>
        <v>319.1406192</v>
      </c>
      <c r="G37" s="2">
        <f t="shared" si="9"/>
        <v>325.52343158400004</v>
      </c>
      <c r="H37" s="2">
        <f t="shared" si="9"/>
        <v>332.03390021568003</v>
      </c>
      <c r="I37" s="2">
        <f t="shared" si="9"/>
        <v>338.67457821999363</v>
      </c>
      <c r="J37" s="2">
        <f t="shared" si="9"/>
        <v>345.44806978439351</v>
      </c>
      <c r="K37" s="2">
        <f t="shared" si="9"/>
        <v>352.35703118008138</v>
      </c>
      <c r="L37" s="2">
        <f t="shared" si="9"/>
        <v>359.40417180368303</v>
      </c>
      <c r="M37" s="2">
        <f t="shared" si="9"/>
        <v>366.5922552397567</v>
      </c>
      <c r="N37" s="2">
        <f t="shared" si="9"/>
        <v>373.92410034455185</v>
      </c>
      <c r="O37" s="2">
        <f t="shared" si="9"/>
        <v>381.4025823514429</v>
      </c>
      <c r="P37" s="2">
        <f t="shared" si="9"/>
        <v>389.03063399847179</v>
      </c>
      <c r="Q37" s="2">
        <f t="shared" si="9"/>
        <v>396.81124667844125</v>
      </c>
      <c r="R37" s="2">
        <f t="shared" si="9"/>
        <v>404.74747161201009</v>
      </c>
      <c r="S37" s="2">
        <f t="shared" si="9"/>
        <v>412.84242104425027</v>
      </c>
      <c r="T37" s="2">
        <f t="shared" si="9"/>
        <v>421.09926946513531</v>
      </c>
      <c r="U37" s="2">
        <f t="shared" si="9"/>
        <v>429.52125485443804</v>
      </c>
      <c r="V37" s="2">
        <f t="shared" si="9"/>
        <v>438.11167995152681</v>
      </c>
      <c r="W37" s="2">
        <f t="shared" si="9"/>
        <v>446.87391355055735</v>
      </c>
      <c r="X37" s="2">
        <f t="shared" si="9"/>
        <v>455.81139182156852</v>
      </c>
      <c r="Y37" s="2">
        <f t="shared" si="9"/>
        <v>464.92761965799991</v>
      </c>
      <c r="Z37" s="2">
        <f t="shared" si="9"/>
        <v>474.22617205115989</v>
      </c>
      <c r="AA37" s="2">
        <f t="shared" si="9"/>
        <v>483.71069549218311</v>
      </c>
    </row>
    <row r="39" spans="1:28" x14ac:dyDescent="0.25">
      <c r="A39" t="s">
        <v>48</v>
      </c>
      <c r="C39" s="13">
        <f>(C28+C32+C35)-C37</f>
        <v>105.52083333333331</v>
      </c>
      <c r="D39" s="13">
        <f t="shared" ref="D39:N39" si="10">(D28+D32+D35)-D37</f>
        <v>107.63125000000002</v>
      </c>
      <c r="E39" s="13">
        <f t="shared" si="10"/>
        <v>109.78387499999997</v>
      </c>
      <c r="F39" s="13">
        <f t="shared" si="10"/>
        <v>111.97955250000001</v>
      </c>
      <c r="G39" s="13">
        <f t="shared" si="10"/>
        <v>114.21914355000001</v>
      </c>
      <c r="H39" s="13">
        <f t="shared" si="10"/>
        <v>116.503526421</v>
      </c>
      <c r="I39" s="13">
        <f t="shared" si="10"/>
        <v>118.83359694942004</v>
      </c>
      <c r="J39" s="13">
        <f t="shared" si="10"/>
        <v>121.21026888840845</v>
      </c>
      <c r="K39" s="13">
        <f t="shared" si="10"/>
        <v>123.6344742661766</v>
      </c>
      <c r="L39" s="13">
        <f t="shared" si="10"/>
        <v>126.10716375150014</v>
      </c>
      <c r="M39" s="13">
        <f t="shared" si="10"/>
        <v>128.62930702653011</v>
      </c>
      <c r="N39" s="13">
        <f t="shared" si="10"/>
        <v>131.20189316706075</v>
      </c>
      <c r="O39" s="14">
        <f>O37-O32</f>
        <v>361.4025823514429</v>
      </c>
      <c r="P39" s="14">
        <f>P37-P32</f>
        <v>369.03063399847179</v>
      </c>
      <c r="Q39" s="10">
        <f t="shared" ref="Q39:AA39" si="11">Q37-Q32</f>
        <v>376.81124667844125</v>
      </c>
      <c r="R39" s="10">
        <f t="shared" si="11"/>
        <v>384.74747161201009</v>
      </c>
      <c r="S39" s="10">
        <f t="shared" si="11"/>
        <v>392.84242104425027</v>
      </c>
      <c r="T39" s="10">
        <f t="shared" si="11"/>
        <v>401.09926946513531</v>
      </c>
      <c r="U39" s="10">
        <f t="shared" si="11"/>
        <v>409.52125485443804</v>
      </c>
      <c r="V39" s="10">
        <f t="shared" si="11"/>
        <v>418.11167995152681</v>
      </c>
      <c r="W39" s="10">
        <f t="shared" si="11"/>
        <v>426.87391355055735</v>
      </c>
      <c r="X39" s="10">
        <f t="shared" si="11"/>
        <v>435.81139182156852</v>
      </c>
      <c r="Y39" s="10">
        <f t="shared" si="11"/>
        <v>444.92761965799991</v>
      </c>
      <c r="Z39" s="10">
        <f t="shared" si="11"/>
        <v>454.22617205115989</v>
      </c>
      <c r="AA39" s="10">
        <f t="shared" si="11"/>
        <v>463.71069549218311</v>
      </c>
    </row>
    <row r="40" spans="1:28" x14ac:dyDescent="0.25">
      <c r="A40" t="s">
        <v>42</v>
      </c>
      <c r="C40" s="23">
        <f>AVERAGE(C39:N39)</f>
        <v>117.93790707111913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>
        <f>AVERAGE(P39:AA39)</f>
        <v>414.80948084814514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</sheetData>
  <mergeCells count="2">
    <mergeCell ref="C40:O40"/>
    <mergeCell ref="P40:AA40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Fundamendals</vt:lpstr>
      <vt:lpstr>Self-Funded</vt:lpstr>
      <vt:lpstr>Self-Funded w loan</vt:lpstr>
      <vt:lpstr>External Funding</vt:lpstr>
      <vt:lpstr>For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Stuart-Bennett</dc:creator>
  <cp:lastModifiedBy>Chris Stuart-Bennett</cp:lastModifiedBy>
  <dcterms:created xsi:type="dcterms:W3CDTF">2021-03-03T16:16:23Z</dcterms:created>
  <dcterms:modified xsi:type="dcterms:W3CDTF">2021-05-17T17:50:35Z</dcterms:modified>
</cp:coreProperties>
</file>